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75" windowWidth="14955" windowHeight="7680" tabRatio="830" firstSheet="4" activeTab="5"/>
  </bookViews>
  <sheets>
    <sheet name="Other SPin" sheetId="1" state="hidden" r:id="rId1"/>
    <sheet name="Jul Data" sheetId="2" state="hidden" r:id="rId2"/>
    <sheet name="Jul Data (2)" sheetId="3" state="hidden" r:id="rId3"/>
    <sheet name="Seed AUM Summary" sheetId="4" state="hidden" r:id="rId4"/>
    <sheet name="Private Equity Funds" sheetId="5" r:id="rId5"/>
    <sheet name="Hedge Funds and Other Funds" sheetId="6" r:id="rId6"/>
    <sheet name="PE FOF" sheetId="7" state="hidden" r:id="rId7"/>
    <sheet name="TRAD - LCV" sheetId="8" state="hidden" r:id="rId8"/>
    <sheet name="TRAD - AC" sheetId="9" state="hidden" r:id="rId9"/>
    <sheet name="TRAD - Quant" sheetId="10" state="hidden" r:id="rId10"/>
    <sheet name="TRAD - BL" sheetId="11" state="hidden" r:id="rId11"/>
    <sheet name="TRAD - Stamp" sheetId="12" state="hidden" r:id="rId12"/>
    <sheet name="TRAD - Other" sheetId="13" state="hidden" r:id="rId13"/>
    <sheet name="Sheet2" sheetId="14" state="hidden" r:id="rId14"/>
    <sheet name="Sheet3" sheetId="15" state="hidden" r:id="rId15"/>
  </sheets>
  <definedNames>
    <definedName name="_xlnm.Print_Area" localSheetId="5">'Hedge Funds and Other Funds'!$A$1:$J$71</definedName>
    <definedName name="_xlnm.Print_Area" localSheetId="1">'Jul Data'!$A$1:$AB$130</definedName>
    <definedName name="_xlnm.Print_Area" localSheetId="2">'Jul Data (2)'!$A$1:$AL$140</definedName>
    <definedName name="_xlnm.Print_Area" localSheetId="0">'Other SPin'!$A$1:$H$19</definedName>
    <definedName name="_xlnm.Print_Area" localSheetId="6">'PE FOF'!$A$1:$U$12</definedName>
    <definedName name="_xlnm.Print_Area" localSheetId="4">'Private Equity Funds'!$A$1:$J$43</definedName>
    <definedName name="_xlnm.Print_Area" localSheetId="8">'TRAD - AC'!$A$1:$V$9</definedName>
    <definedName name="_xlnm.Print_Area" localSheetId="10">'TRAD - BL'!$A$1:$U$10</definedName>
    <definedName name="_xlnm.Print_Area" localSheetId="7">'TRAD - LCV'!$A$1:$T$12</definedName>
    <definedName name="_xlnm.Print_Area" localSheetId="12">'TRAD - Other'!$A$1:$T$10</definedName>
    <definedName name="_xlnm.Print_Area" localSheetId="9">'TRAD - Quant'!$A$1:$T$12</definedName>
    <definedName name="_xlnm.Print_Area" localSheetId="11">'TRAD - Stamp'!$A$1:$V$13</definedName>
    <definedName name="_xlnm.Print_Titles" localSheetId="5">'Hedge Funds and Other Funds'!$1:$4</definedName>
    <definedName name="_xlnm.Print_Titles" localSheetId="1">'Jul Data'!$1:$7</definedName>
    <definedName name="_xlnm.Print_Titles" localSheetId="2">'Jul Data (2)'!$1:$7</definedName>
    <definedName name="_xlnm.Print_Titles" localSheetId="4">'Private Equity Funds'!$1:$6</definedName>
  </definedNames>
  <calcPr fullCalcOnLoad="1"/>
</workbook>
</file>

<file path=xl/sharedStrings.xml><?xml version="1.0" encoding="utf-8"?>
<sst xmlns="http://schemas.openxmlformats.org/spreadsheetml/2006/main" count="1204" uniqueCount="466">
  <si>
    <t>To make leveraged investments in a variety of public and private US and Non US securities including ABS, MBS, and CDOs.</t>
  </si>
  <si>
    <t xml:space="preserve">To invest in hedge fund strategies including: long-short domestic equity, market neutral domestic equity, emerging markets, structured fixed income, bank loans and ABS.  </t>
  </si>
  <si>
    <t>To invest in high yield bonds, CDS, and structured finance securities to seek opportunities arising from market segmentation, credit events, relative liquidity, and other idiosyncratic causes.</t>
  </si>
  <si>
    <t xml:space="preserve">Feeder Fund of the HedgeSelect Program; invests all or substantially all of its assets into ACI US Market Neutral Fund, LP (an unaffiliated third-party managed fund). </t>
  </si>
  <si>
    <t>To invest in the publicly traded common stock or other equity securities of companies identified as “fallen angels” (companies trading significantly below their historic highs and that were believed had a reasonable opportunity to increase substantially in value from current market levels), together with opportunistic use of traditional hedging strategies, short selling, paired trading and leverage.</t>
  </si>
  <si>
    <t>Team transitioning to Mesirow Financial: Trailers apply to designated accounts and the Limited Partnership. Trailer equates to 10% of the specified accounts (institutional only) for 5 years. Specific list of accounts to be finalized shortly. Refer to Appendix A in DRAFT Mesirow agreement</t>
  </si>
  <si>
    <t xml:space="preserve">Agreement Letter 9/5/08 (Draft) </t>
  </si>
  <si>
    <t>A company whose principle activities are the acquisition of Independent Financial Advisors (IFA), who not only pro-actively advise clients but also accumulate and service funds under management</t>
  </si>
  <si>
    <t>BSAM Business Overview - Traditional Other</t>
  </si>
  <si>
    <t>Traditional Other</t>
  </si>
  <si>
    <t>1) Israel (Migdal)</t>
  </si>
  <si>
    <t>2) The Money Portal</t>
  </si>
  <si>
    <t>* Includes $50MM of seed capital not included in BSAM Management reporting</t>
  </si>
  <si>
    <t>Retain / Spin</t>
  </si>
  <si>
    <t xml:space="preserve">Letter of Agreement Signed 9/24/08 </t>
  </si>
  <si>
    <t>10/31/08 or earlier</t>
  </si>
  <si>
    <t>As of 8/31/2008</t>
  </si>
  <si>
    <t xml:space="preserve">As of August 2008 </t>
  </si>
  <si>
    <t>2009 Revenue</t>
  </si>
  <si>
    <t>AUM</t>
  </si>
  <si>
    <t>Retained and Spin AUM and Seed Balances</t>
  </si>
  <si>
    <t>Equity</t>
  </si>
  <si>
    <t>Fixed</t>
  </si>
  <si>
    <t>Seed</t>
  </si>
  <si>
    <t>Hedge Fund</t>
  </si>
  <si>
    <t>Check</t>
  </si>
  <si>
    <t>Invests systematically across 47 international markets using a proprietary country model via ETFs, ADR baskets, local ordinary share baskets, or index-linked derivatives. The portfolio rebalances monthly</t>
  </si>
  <si>
    <t>Europe Long / Short</t>
  </si>
  <si>
    <t>Traditional Equity</t>
  </si>
  <si>
    <t>Traditional Fixed Income</t>
  </si>
  <si>
    <t>New Castle Partners (long bias fund primarily invests in publicly issued stock of US and Non US issuers); Market Neutral (On and Offshore long and short positions); Fallen Angels (long bias fund invests in equities of companies that have stable balance sheets, good market prospects and are trading at historically low levels)</t>
  </si>
  <si>
    <t>Fund makes Leveraged Investments in a variety of public and private US and Non US securities including Asset Backed Securities, Mortgage Backed Securities,  and Collateralized Debt obligations</t>
  </si>
  <si>
    <t>Actively trading fund seeks to generate positive risk-adjusted returns primarily through trading and investing in emerging markets currencies, sovereign debt instruments and related options and derivatives</t>
  </si>
  <si>
    <t>Innovation Partners group is a 3rd Party Company that offers investors access to alternative investment managers and to act as a distributor or placement agent through a subsidiary that is a registered broker-dealer. The other significant investor in the entity is AIG Global Asset Management Holding Corp.</t>
  </si>
  <si>
    <t>Objective is to generate significant returns, principally through long term capital appreciation of privately negotiated equity and equity related investments in early or mid stage companies developing innovative health care products &amp; services.</t>
  </si>
  <si>
    <t>Focuses on early to mid-state venture capital companies in European digital media companies that use the internet and emerging broadband platforms as core distribution channels.</t>
  </si>
  <si>
    <t>Provide investment opportunity to Senior Managing Directors and MDs of Bear Stearns in a diversified group of closed end acquisition and LBO funds.</t>
  </si>
  <si>
    <t>Microcap (seeks exposure to equity securities with market caps between $50 and $200 million); Large Cap (seeks exposure to large cap stocks, the strategy combines 5 models spanning both value and growth stocks); S&amp;P Equity (applies fundamental quant criteria to manage bottom up equity portfolios, blending value and growth metrics)</t>
  </si>
  <si>
    <t>Invests in a diversified portfolio of equities in companies which BSAM perceives to have strong business models and are undervalued</t>
  </si>
  <si>
    <t>BSAM Business Overview - Spin Products</t>
  </si>
  <si>
    <t>Hedge Funds</t>
  </si>
  <si>
    <t>Emerging Markets Macro</t>
  </si>
  <si>
    <t>Expected Spin Date</t>
  </si>
  <si>
    <t>Revenue Share</t>
  </si>
  <si>
    <t>Seed Capital</t>
  </si>
  <si>
    <t>Spin Payments</t>
  </si>
  <si>
    <t>Performance Fees / Mgmt Fees</t>
  </si>
  <si>
    <t>---</t>
  </si>
  <si>
    <t>10/31/08</t>
  </si>
  <si>
    <t>As of August 2008</t>
  </si>
  <si>
    <t>As of 7/31/2008</t>
  </si>
  <si>
    <t>Plan</t>
  </si>
  <si>
    <t>Mgmt. Fee</t>
  </si>
  <si>
    <t>Perf.Fee</t>
  </si>
  <si>
    <t>Total Fee</t>
  </si>
  <si>
    <t>Spin Payment</t>
  </si>
  <si>
    <t>Rev Share Agreements</t>
  </si>
  <si>
    <t>Up to date Mgmt Fee / Perf Fee</t>
  </si>
  <si>
    <t>Seed Capital (timing)</t>
  </si>
  <si>
    <t>JPM Contact</t>
  </si>
  <si>
    <t>($mm)</t>
  </si>
  <si>
    <t>Direct Hedge Funds</t>
  </si>
  <si>
    <t>ABS</t>
  </si>
  <si>
    <t>Equity Focus</t>
  </si>
  <si>
    <t>Europe LS</t>
  </si>
  <si>
    <t>Healthcare</t>
  </si>
  <si>
    <t>Enhanced Cap. Partners (Highgrade)</t>
  </si>
  <si>
    <t>New Castle</t>
  </si>
  <si>
    <t>Structured Risk</t>
  </si>
  <si>
    <t>CDO Management</t>
  </si>
  <si>
    <t>Total Direct Hedge Funds</t>
  </si>
  <si>
    <t>Seeded Hedge Funds</t>
  </si>
  <si>
    <t>Ascendant</t>
  </si>
  <si>
    <t>BlueFin</t>
  </si>
  <si>
    <t>GATKO</t>
  </si>
  <si>
    <t>Hayground Cove</t>
  </si>
  <si>
    <t>Right Wall</t>
  </si>
  <si>
    <t>Rosen Fund</t>
  </si>
  <si>
    <t>Sorin</t>
  </si>
  <si>
    <t>Total Seeded Hedge Funds</t>
  </si>
  <si>
    <t>Open Architecture</t>
  </si>
  <si>
    <t>Fund of Hedge Funds</t>
  </si>
  <si>
    <t>Multi-Strategy</t>
  </si>
  <si>
    <t>Quantitative Strategy</t>
  </si>
  <si>
    <t>Total Open Architecture</t>
  </si>
  <si>
    <t>Other Hedge Funds</t>
  </si>
  <si>
    <t xml:space="preserve">Innovation </t>
  </si>
  <si>
    <t>Total Other Hedge Funds</t>
  </si>
  <si>
    <t>Total Hedge Funds</t>
  </si>
  <si>
    <t>Private Equity</t>
  </si>
  <si>
    <t>Direct Private Equity</t>
  </si>
  <si>
    <t>CV I + II</t>
  </si>
  <si>
    <t>CV III</t>
  </si>
  <si>
    <t>Health Innoventures</t>
  </si>
  <si>
    <t>Lynx</t>
  </si>
  <si>
    <t>Total Direct Private Equity</t>
  </si>
  <si>
    <t>Private Equity Advisors</t>
  </si>
  <si>
    <t>PEA (Separate Accounts)</t>
  </si>
  <si>
    <t>Access Funds</t>
  </si>
  <si>
    <t>BSPEL</t>
  </si>
  <si>
    <t>Capital Investments</t>
  </si>
  <si>
    <t>Total Private Equity Advisors</t>
  </si>
  <si>
    <t>Other Private Equity</t>
  </si>
  <si>
    <t>G3</t>
  </si>
  <si>
    <t>Eastward</t>
  </si>
  <si>
    <t>Total Other Private Equity</t>
  </si>
  <si>
    <t>PE Fund of Funds</t>
  </si>
  <si>
    <t>Employee Funds</t>
  </si>
  <si>
    <t>Fund of PEFs</t>
  </si>
  <si>
    <t>Total PE Fund of Funds</t>
  </si>
  <si>
    <t>Total Private Equity</t>
  </si>
  <si>
    <t>Traditional - Equity</t>
  </si>
  <si>
    <t>Systematic</t>
  </si>
  <si>
    <t>Strategic Portfolio (SMA)</t>
  </si>
  <si>
    <t>Institutional - SA</t>
  </si>
  <si>
    <t>Platform</t>
  </si>
  <si>
    <t>General Systematic</t>
  </si>
  <si>
    <t>OSAM</t>
  </si>
  <si>
    <t>Total Systematic</t>
  </si>
  <si>
    <t>Large Cap Value</t>
  </si>
  <si>
    <t>Large Cap Value - SA</t>
  </si>
  <si>
    <t>Intrinsic Value</t>
  </si>
  <si>
    <t>Large Cap GARB</t>
  </si>
  <si>
    <t>Total Large Cap Value</t>
  </si>
  <si>
    <t>Growth Equity</t>
  </si>
  <si>
    <t>Large Cap Core</t>
  </si>
  <si>
    <t>S&amp;P Stars</t>
  </si>
  <si>
    <t>Small Cap</t>
  </si>
  <si>
    <t>Global Equity Growth</t>
  </si>
  <si>
    <t>Small Cap Value</t>
  </si>
  <si>
    <t>Total Growth Equity</t>
  </si>
  <si>
    <t>Active Country</t>
  </si>
  <si>
    <t>Separate Accounts</t>
  </si>
  <si>
    <t>Long Only</t>
  </si>
  <si>
    <t>Total Active Country</t>
  </si>
  <si>
    <t>Quantitative Equity</t>
  </si>
  <si>
    <t>SMID Value</t>
  </si>
  <si>
    <t>Core</t>
  </si>
  <si>
    <t xml:space="preserve">130 / 30 </t>
  </si>
  <si>
    <t>Total Quantitative Equity</t>
  </si>
  <si>
    <t>Total Traditional - Equity</t>
  </si>
  <si>
    <t>Traditional - Fixed Income</t>
  </si>
  <si>
    <t>Bank Loan</t>
  </si>
  <si>
    <t>CLO</t>
  </si>
  <si>
    <t>Leverage Loan Fund</t>
  </si>
  <si>
    <t>Total Bank Loan</t>
  </si>
  <si>
    <t>High Yield</t>
  </si>
  <si>
    <t>Intermediate Duration</t>
  </si>
  <si>
    <t>Muni</t>
  </si>
  <si>
    <t>Stratis</t>
  </si>
  <si>
    <t>CUFS - JV</t>
  </si>
  <si>
    <t>Total Core</t>
  </si>
  <si>
    <t>STAMP</t>
  </si>
  <si>
    <t>Enhanced Cash</t>
  </si>
  <si>
    <t>Cash Management</t>
  </si>
  <si>
    <t>Enhanced Income</t>
  </si>
  <si>
    <t xml:space="preserve">ETF </t>
  </si>
  <si>
    <t>Total Stamp</t>
  </si>
  <si>
    <t>Total Traditional - Fixed Income</t>
  </si>
  <si>
    <t>Close</t>
  </si>
  <si>
    <t>Spin</t>
  </si>
  <si>
    <t>Retain</t>
  </si>
  <si>
    <t>Liquidate</t>
  </si>
  <si>
    <r>
      <t xml:space="preserve">Annualized Revenue </t>
    </r>
    <r>
      <rPr>
        <b/>
        <u val="single"/>
        <vertAlign val="superscript"/>
        <sz val="10"/>
        <rFont val="Trebuchet MS"/>
        <family val="2"/>
      </rPr>
      <t>1</t>
    </r>
  </si>
  <si>
    <t>AUM (Incl. Seed Capital)</t>
  </si>
  <si>
    <t>1) OSAM</t>
  </si>
  <si>
    <t>Other</t>
  </si>
  <si>
    <t>9/08</t>
  </si>
  <si>
    <t>3) Enhanced Capital Partners</t>
  </si>
  <si>
    <t>8/08</t>
  </si>
  <si>
    <t>2) Migdal JV</t>
  </si>
  <si>
    <t>Received payment for 5% stake, $.6MM</t>
  </si>
  <si>
    <t>JPM / BSAM Contacts</t>
  </si>
  <si>
    <t>Larry Unrein</t>
  </si>
  <si>
    <t>Paul Quinsee</t>
  </si>
  <si>
    <t>*</t>
  </si>
  <si>
    <t>$10.3MM payment upon close in 2 installments; $7.25MM to terminate Advisor &amp; Solicitation Agreements; $3MM related to sale of BICs membership interest</t>
  </si>
  <si>
    <t>**</t>
  </si>
  <si>
    <t>* Includes $50MM of seed capital not included in BSAM management reporting</t>
  </si>
  <si>
    <t>** Need to review Accounting Treatment</t>
  </si>
  <si>
    <t>4) CLO</t>
  </si>
  <si>
    <t>5) STAMP</t>
  </si>
  <si>
    <t>6) Large Cap Growth</t>
  </si>
  <si>
    <t>7) Balanced</t>
  </si>
  <si>
    <t>8) Active Country Equity</t>
  </si>
  <si>
    <t>Date</t>
  </si>
  <si>
    <t>Salary &amp; Benefits</t>
  </si>
  <si>
    <t>Incentive Comp</t>
  </si>
  <si>
    <t>All Other</t>
  </si>
  <si>
    <t>BSAM Product Financials</t>
  </si>
  <si>
    <t>TBD</t>
  </si>
  <si>
    <t>$4.7MM</t>
  </si>
  <si>
    <t>$4.1MM</t>
  </si>
  <si>
    <t>$21.1MM</t>
  </si>
  <si>
    <t>Spin/HB</t>
  </si>
  <si>
    <t>$23.9MM</t>
  </si>
  <si>
    <t>50% Investment being sold ($70MM), no P&amp;L impact as Sale price equal to Investment Carrying Value</t>
  </si>
  <si>
    <t>5 Year Agreement</t>
  </si>
  <si>
    <t>10) Private Funds Group (Crane)</t>
  </si>
  <si>
    <t>Based on Commission Plan</t>
  </si>
  <si>
    <t>Sale Arrangements</t>
  </si>
  <si>
    <t>Hedge Select *</t>
  </si>
  <si>
    <t xml:space="preserve">* 35 Strategies reduced to 7 </t>
  </si>
  <si>
    <t>Total Exp (Exc IC)</t>
  </si>
  <si>
    <t>Revenue Jan. 1 - Jul 31</t>
  </si>
  <si>
    <r>
      <t xml:space="preserve">Expense                         </t>
    </r>
    <r>
      <rPr>
        <b/>
        <u val="single"/>
        <sz val="10"/>
        <rFont val="Trebuchet MS"/>
        <family val="2"/>
      </rPr>
      <t>Jan 1 - Jul 31</t>
    </r>
  </si>
  <si>
    <t>None</t>
  </si>
  <si>
    <t>$0.3MM to be recovered through payment at sale closing</t>
  </si>
  <si>
    <t>Seth Bernstein</t>
  </si>
  <si>
    <t>Description</t>
  </si>
  <si>
    <t>As of 3/31/2008</t>
  </si>
  <si>
    <t>Enhanced Cap. Partners</t>
  </si>
  <si>
    <t>Other Revenue</t>
  </si>
  <si>
    <t>Total Revenue</t>
  </si>
  <si>
    <t>1) Constellation</t>
  </si>
  <si>
    <t>12/08</t>
  </si>
  <si>
    <t>Seed Capital investment for in return a perpetual revnue share</t>
  </si>
  <si>
    <t>Large Cap GARP</t>
  </si>
  <si>
    <t>Traditional - Other</t>
  </si>
  <si>
    <t>Balanced</t>
  </si>
  <si>
    <t>Money Portal</t>
  </si>
  <si>
    <t>YTD Jul Tot Revenue</t>
  </si>
  <si>
    <t>Dec Tot Revenue</t>
  </si>
  <si>
    <t>jan - Jul</t>
  </si>
  <si>
    <t>Allocations</t>
  </si>
  <si>
    <t>Other Notes</t>
  </si>
  <si>
    <t>BSAM Business Overview - Private Equity</t>
  </si>
  <si>
    <t>1) Separate Accounts</t>
  </si>
  <si>
    <t>1) Large Cap Value - SA</t>
  </si>
  <si>
    <t>2) Platform</t>
  </si>
  <si>
    <t>3) Intrinsic Value</t>
  </si>
  <si>
    <t>4) Large Cap GARP</t>
  </si>
  <si>
    <t>2) Long Only</t>
  </si>
  <si>
    <t>1) SMID Value</t>
  </si>
  <si>
    <t>2) Core</t>
  </si>
  <si>
    <t>3) Large Cap Core</t>
  </si>
  <si>
    <t xml:space="preserve">4) 130 / 30 </t>
  </si>
  <si>
    <t>1) CLO</t>
  </si>
  <si>
    <t>2) Separate Accounts</t>
  </si>
  <si>
    <t>3) Leverage Loan Fund</t>
  </si>
  <si>
    <t>1) STAMP</t>
  </si>
  <si>
    <t>2) Enhanced Cash</t>
  </si>
  <si>
    <t>3) Cash Management</t>
  </si>
  <si>
    <t>4) Enhanced Income</t>
  </si>
  <si>
    <t>5) ETF</t>
  </si>
  <si>
    <t>BSAM Business Overview - Traditional Fixed</t>
  </si>
  <si>
    <t>BSAM Business Overview - Traditional Equity</t>
  </si>
  <si>
    <t>Fund of Funds</t>
  </si>
  <si>
    <t>ABS (Asset Backed Securities)</t>
  </si>
  <si>
    <t>Capital Invested</t>
  </si>
  <si>
    <t>Inc / (Dec) vs 3/31/08</t>
  </si>
  <si>
    <t>Mostly invested in Western European Equities. The fund is diversified in terms of countries, sectors, and market caps. The fund is fairly concentrated with about 30 names on the Long side and with a Short exposure of at least 40 cents for every dollar.</t>
  </si>
  <si>
    <t>Is a long/short equity fund with major holdings in the Retail sector.</t>
  </si>
  <si>
    <t>Seeks to achieve market neutral returns by implementing multiple investment strategies in commercial mortgage backed securities, asset backed securities and other fixed income sectors.</t>
  </si>
  <si>
    <t xml:space="preserve">A structured credit fund that invests in CDOs and other Fixed Income products. </t>
  </si>
  <si>
    <t>GATKO (Global Opportunities Fund)</t>
  </si>
  <si>
    <t>Global equities fund combining active with fundamental research driven by global macro overlay.</t>
  </si>
  <si>
    <t>A long/short equity fund that invests in stocks in the financial services sector.</t>
  </si>
  <si>
    <t>These funds of Bear Stearns proprietary hedge funds reduces risk through fuller diversification, while maintaining the potential for maximizing investment returns.</t>
  </si>
  <si>
    <t>Provides the advantages of investing in both direct and fund of hedge funds through a single platform. It is an open platform of some 50 funds which allow investors to create a custom portfolio of hedge funds with potential cost benefits, enhanced risk capabilities and streamlined documentation and reporting.</t>
  </si>
  <si>
    <t>Operates as a multi-strategy, multi-manager fund of funds, allocating its assets among a selected group of portfolio managers who, as a group, employ a variety of investment strategies, styles and techniques.</t>
  </si>
  <si>
    <t>These funds seek long term capital appreciation through investments in equity and equity related securities of early and mid stage media, communications and technology companies in emerging high growth markets.</t>
  </si>
  <si>
    <t>CV III (Constellation Ventures)</t>
  </si>
  <si>
    <t>CV I + II (Constellation Ventures)</t>
  </si>
  <si>
    <t>This fund seeks long term capital appreciation through investments in equity and equity related securities of early and mid stage media, communications and technology companies in emerging high growth markets.</t>
  </si>
  <si>
    <t>Innovation Capital</t>
  </si>
  <si>
    <t>G3 Strategy Investments</t>
  </si>
  <si>
    <t>Invests primarily in subordinate non investment grade commercial mortgage backed securities</t>
  </si>
  <si>
    <t>Fixed Income strategy that prioritizes maintenance of liquidity. The fund invests in corporate securities, US agencies, treasuries and other securities.</t>
  </si>
  <si>
    <t>Israel (Migdal)</t>
  </si>
  <si>
    <t>BSAM acquired 50% interest in Migdal Capital Markets, a division of Migdal Insurance and Financial Holdings Ltd.. Migdal provides investment management services to individuals, banks, investment companies and corporations through the management of separate accounts, mutual funds and various other broker-dealer activities.</t>
  </si>
  <si>
    <t>Primarily consists of Ba3 - b1 rated "par" corporate bank loan participations and/or loan assignments constructed with aggregate LIBOR +200 to +300 coupon spreads.</t>
  </si>
  <si>
    <t>A fixed Income strategy investing in a variety of sectors that seek to exploit market inefficiencies through identification of key market cycles and tactical sector allocations</t>
  </si>
  <si>
    <t>Long/Short US Equity fund primarily invests in midcap securities</t>
  </si>
  <si>
    <t>Value oriented healthcare sector fund investing primarily in public and private companies in the healthcare industry, the latter representing no more than 20% of the value of each capital account.</t>
  </si>
  <si>
    <t>A by-product of the increase in demand for long/short equity products in the US institutional market has been the emergence of 130/30 products.</t>
  </si>
  <si>
    <t>Eastward provides competitive venture debt products to venture-backed, early stage to late-stage growth companies.</t>
  </si>
  <si>
    <t>Invests in private investment funds managed by 3rd party managers in corporate and real estate  assets</t>
  </si>
  <si>
    <t>Purchase blocks of other private equity investments for syndication to outside investors</t>
  </si>
  <si>
    <t>12/31/08</t>
  </si>
  <si>
    <t>1) Employee Funds</t>
  </si>
  <si>
    <t>2) Fund of PE Funds</t>
  </si>
  <si>
    <t>PE Distribution</t>
  </si>
  <si>
    <t>Private Funds Group (Crane)</t>
  </si>
  <si>
    <t>Raises capital for Nonproprietary PE Funds</t>
  </si>
  <si>
    <t>8/29/08</t>
  </si>
  <si>
    <t>11/08</t>
  </si>
  <si>
    <t>Documents on File</t>
  </si>
  <si>
    <t>PCS accounts treated separately from the asset calculation of the deal. Strategy continues on the Stratis platform in PCS; related payments to brokers continue per PCS grid (subadvisor relationship continues)</t>
  </si>
  <si>
    <t xml:space="preserve">PCS relationship unresolved. YYY Fund in liquidation. </t>
  </si>
  <si>
    <t>Paul Quinsee / Margo Cook</t>
  </si>
  <si>
    <t>'09 Rev</t>
  </si>
  <si>
    <t>$65k</t>
  </si>
  <si>
    <t>$900K</t>
  </si>
  <si>
    <t>Seth Bernstein / Margo Cook</t>
  </si>
  <si>
    <t>$300K</t>
  </si>
  <si>
    <t>Spin Off / Close Date</t>
  </si>
  <si>
    <r>
      <t>Discussions in progress with Logan Circle Partners. Track record issues partially resolved. Current payment proposal is 3 basis points on accounts that transition to LCP with a 5-year trailer (</t>
    </r>
    <r>
      <rPr>
        <i/>
        <sz val="12"/>
        <rFont val="Arial"/>
        <family val="2"/>
      </rPr>
      <t>on billable assets</t>
    </r>
    <r>
      <rPr>
        <sz val="12"/>
        <rFont val="Arial"/>
        <family val="2"/>
      </rPr>
      <t>)</t>
    </r>
  </si>
  <si>
    <t>Merger / Transaction Payments &amp; 2008 Performance Bonus</t>
  </si>
  <si>
    <t>Total 08 Perf Bonus $3.2MM</t>
  </si>
  <si>
    <t>Transition, Notice, and Severance Benefits to all staff per provided transition letters (see attached summary for current estimate). Total 08 Perf Bonus $1.1MM</t>
  </si>
  <si>
    <t>Base Management Fees 15%, Deferred &amp; Incentive Fees 25%, New Business; 10% for first 3 years and 5% for next 2 years. Total 08 Perf Bonus $1.1MM</t>
  </si>
  <si>
    <t>Transition, Notice, and Severance Benefits to all staff per provided transition letters; which will need to be revised pending new transition date. (see attached summary for current estimate). Total 08 Perf Bonus $1.1MM</t>
  </si>
  <si>
    <t>Annual Performance</t>
  </si>
  <si>
    <t>Not App.</t>
  </si>
  <si>
    <t>New Castle Millenium II, LP</t>
  </si>
  <si>
    <t>Bear Stearns Fund of Hedge Funds, LP</t>
  </si>
  <si>
    <t>Bear Stearns Leveraged Fund of Hedge Funds, LP</t>
  </si>
  <si>
    <t>Bear Stearns Offshore Fund of Hedge Funds, Ltd.</t>
  </si>
  <si>
    <t>Bear Stearns Offshore Leveraged Fund of Hedge Funds, Ltd.</t>
  </si>
  <si>
    <t>Bear Stearns Focused Opportunities Fund (FKA Bear Stearns Equity Focus Fund)</t>
  </si>
  <si>
    <t>Bear Stearns Loan Trust</t>
  </si>
  <si>
    <t>Bear Stearns Institutional Loan Master Fund, Ltd.</t>
  </si>
  <si>
    <t>Bear Stearns CUFS MLP Mortgage Portfolio</t>
  </si>
  <si>
    <t>Bear Stearns Emerging Markets Macro Master Fund, Ltd</t>
  </si>
  <si>
    <t>Bear Stearns Europe Long / Short Fund (Master), Ltd</t>
  </si>
  <si>
    <t>Bear Stearns Healthcare Value Master Fund, Ltd</t>
  </si>
  <si>
    <t>New Castle Fallen Angels (Master Fund) Ltd.</t>
  </si>
  <si>
    <t>New Castle Market Neutral Fund, LP</t>
  </si>
  <si>
    <t>New Castle Partners LLC</t>
  </si>
  <si>
    <t>Bear Stearns Multi-Strategy Fund, LP</t>
  </si>
  <si>
    <t xml:space="preserve">New Castle Millenium, LP </t>
  </si>
  <si>
    <t>10..68%</t>
  </si>
  <si>
    <t xml:space="preserve">HedgeSelect / ACI US Select Fund LLC </t>
  </si>
  <si>
    <t xml:space="preserve">HedgeSelect / Dalton Global Opportunity Fund LLC  </t>
  </si>
  <si>
    <t>To invest in obligations authorized by the Federal Credit Union Act ("FCUA") or otherwise permitted pursuant to a waiver granted by the National Credit Union Administration with respect to certain FCUA rules and regulations.</t>
  </si>
  <si>
    <t>To trade and invest in emerging markets currencies, sovereign debt instruments and related options and derivatives.</t>
  </si>
  <si>
    <t xml:space="preserve">To make long and short investments primarily in Western European equities. </t>
  </si>
  <si>
    <t>To make long and short US midcap equity investments.</t>
  </si>
  <si>
    <t>To make value oriented investments primarily in public and private companies in the healthcare industry.</t>
  </si>
  <si>
    <t>To invest in a U.S. dollar-denominated, long-only portfolio of below investment grade senior secured commercial loans.</t>
  </si>
  <si>
    <t>To invest in, using leverage, the Bear Stearns Fund of Hedge Funds, L.P.</t>
  </si>
  <si>
    <t xml:space="preserve">To invest and trade in a variety of MBS.  </t>
  </si>
  <si>
    <t>To invest in, using leverage, the Bear Stearns Offshore Fund of Hedge Funds, Ltd.</t>
  </si>
  <si>
    <t>To invest substantially all of its assets into 1861 Capital Fund L.P.</t>
  </si>
  <si>
    <t xml:space="preserve">To invest substantially all of its assets into other Feeder Funds of the HedgeSelect Program. </t>
  </si>
  <si>
    <t>Investment Strategy*</t>
  </si>
  <si>
    <t>To invest substantially all of its assets into Arience Capital Partners I, L.P. (an unaffiliated third-party managed fund).</t>
  </si>
  <si>
    <t xml:space="preserve">To invest substantially all of its assets into Asuka Opportunities Fund, LLC (an unaffiliated third-party managed fund). </t>
  </si>
  <si>
    <t xml:space="preserve">To invest substantially all of its assets into Black River® Municipal Relative Value Fund LLC (an unaffiliated third-party managed fund). </t>
  </si>
  <si>
    <t xml:space="preserve">To invest substantially all of its assets into The Campbell Qualified Multi-Strategy Fund L.L.C. (an unaffiliated third-party managed fund). </t>
  </si>
  <si>
    <t>To invest substantially all of its assets into Canyon Value Realization Fund L.P. (an unaffiliated third-party managed fund).</t>
  </si>
  <si>
    <t xml:space="preserve">To invest substantially all of its assets into Chilton® QP European Partners L.P. (an unaffiliated third-party managed fund). </t>
  </si>
  <si>
    <t>To invest substantially all of its assets into Chilton Small Cap Partners, L.P.  (an unaffiliated third-party managed fund).</t>
  </si>
  <si>
    <t>To invest all or substantially all of its assets into CRG Partners, L.P. (an unaffiliated third-party managed fund).</t>
  </si>
  <si>
    <t>To invest all or substantially all of its assets into Dalton Global Opportunity Offshore Fund Ltd. (an unaffiliated third-party managed fund).</t>
  </si>
  <si>
    <t>To invest substantially all of its assets into Deephaven Event Fund LLC (an unaffiliated third-party managed fund).</t>
  </si>
  <si>
    <t>To invest substantially all of its assets into Deephaven Global Multi-Strategy Fund LLC (an unaffiliated third-party managed fund).</t>
  </si>
  <si>
    <t>To invest substantially all of its assets into FrontPoint Select Multi-Strategy Fund Series A, L.P. (an unaffiliated third-party managed fund).</t>
  </si>
  <si>
    <t xml:space="preserve">To invest all or substantially all of its assets into HFRX Distressed Securities Tracker Fund (an unaffiliated third-party managed fund). </t>
  </si>
  <si>
    <t>To invest substantially all of its assets into Hillsdale Canadian Aggressive Hedged Equity Fund (International) Ltd. (an unaffiliated third-party managed fund).</t>
  </si>
  <si>
    <t>To invest substantially all of its assets into ING Clarion Global, LP (an unaffiliated third-party managed fund).</t>
  </si>
  <si>
    <t>To invest substantially all of its assets into Kayne Anderson MLP Fund L.P. (an unaffiliated third-party managed fund).</t>
  </si>
  <si>
    <t xml:space="preserve">To invest substantially all of its assets into Mellon AlphaAccess Select Fund, LLC (an unaffiliated third-party managed fund). </t>
  </si>
  <si>
    <t xml:space="preserve">To invest substantially all of its assets into Mellon Global Opportunity Fund, LLC (an unaffiliated third-party managed fund). </t>
  </si>
  <si>
    <t>To invest substantially all of its assets into O’Connor Global Fundamental Market Neutral Long Short LLC (an unaffiliated third-party managed fund).</t>
  </si>
  <si>
    <t>To invest substantially all of its assets into Post Total Return Fund II, L.P. (an unaffiliated third-party managed fund).</t>
  </si>
  <si>
    <t>To invest all or substantially all of its assets into Sage Opportunity Fund (QP), L.P.  (an unaffiliated third-party managed fund).</t>
  </si>
  <si>
    <t xml:space="preserve">To invest substantially all of its assets into Sandler Associates (an unaffiliated third-party managed fund). </t>
  </si>
  <si>
    <t>To invest substantially all of its assets into Temujin Fund, L.P. (an unaffiliated third-party managed fund).</t>
  </si>
  <si>
    <t>To invest substantially all of its assets into Third Point Partners Qualified L.P. (an unaffiliated third-party managed fund).</t>
  </si>
  <si>
    <t>To invest substantially all of its assets into Whippoorwill Distressed Opportunity Fund L.P. (an unaffiliated third-party managed fund).</t>
  </si>
  <si>
    <t>To invest substantially all of its assets into Whitebox Diversified Convertible Arbitrage Fund L.P.  (an unaffiliated third-party managed fund).</t>
  </si>
  <si>
    <t>To invest substantially all of its assets into Zweig-DiMenna Partners, L.P. (an unaffiliated third-party managed fund).</t>
  </si>
  <si>
    <t>Bear Stearns Structured Risk Partners Master Fund Ltd.</t>
  </si>
  <si>
    <t>Fund Name</t>
  </si>
  <si>
    <t>To invest with a long-biased strategy in U.S. mid-to large-capitalization stocks.</t>
  </si>
  <si>
    <t>To invest with a long-biased strategy in U.S. mid- to large- capitalization stocks.</t>
  </si>
  <si>
    <t>To invest with a market neutral strategy in long and short positions in U.S. mid- to large-capitalization publicly traded domestic equities which are readily marketable and are either listed securities or traded on the over-the-counter markets.</t>
  </si>
  <si>
    <t>* Summary description of primary investment strategy.</t>
  </si>
  <si>
    <t>To make leveraged investments in investment-grade structured finance securities.</t>
  </si>
  <si>
    <t>To invest in a wide variety of hedge fund styles including long/short equity, event driven, relative value, global macro and commodity trading.</t>
  </si>
  <si>
    <t>To invest substantially all of its assets into ING Clarion US, L.P.  (an unaffiliated third-party managed fund).</t>
  </si>
  <si>
    <t>AUM Data (1)</t>
  </si>
  <si>
    <t>Annual Performance (2)</t>
  </si>
  <si>
    <t>3/14/2008 (3)</t>
  </si>
  <si>
    <t>Bear Stearns Access Fund II, LP</t>
  </si>
  <si>
    <t>Private equity fund of fund (single partnership investment)</t>
  </si>
  <si>
    <t>Not Applicable</t>
  </si>
  <si>
    <t>Bear Stearns Access Fund III, LP</t>
  </si>
  <si>
    <t>Bear Stearns Access Fund IV, LP</t>
  </si>
  <si>
    <t>Bear Stearns Access Fund V, LP</t>
  </si>
  <si>
    <t>Bear Stearns Access Fund VI, LP</t>
  </si>
  <si>
    <t>Bear Stearns Access Fund VII, LP</t>
  </si>
  <si>
    <t>Bear Stearns Health Innoventures, LP</t>
  </si>
  <si>
    <t>Private equity - direct investments (venture capital - healthcare)</t>
  </si>
  <si>
    <t>Bear Stearns Health Innoventures (Offshore), LP</t>
  </si>
  <si>
    <t>BX, LP</t>
  </si>
  <si>
    <t>Bear Stearns Health Innoventures Employee Fund, LP</t>
  </si>
  <si>
    <t>Bear Stearns Private Equity Opportunity Fund, LP</t>
  </si>
  <si>
    <t>Private equity fund of fund (multiple partnership investments)</t>
  </si>
  <si>
    <t>Bear Stearns Private Equity Opportunity Fund II, LP</t>
  </si>
  <si>
    <t>Bear Stearns Venture Partners, LP</t>
  </si>
  <si>
    <t>Bear Stearns Private Opportunity Ventures, LP</t>
  </si>
  <si>
    <t>Constellation Venture Capital, LP</t>
  </si>
  <si>
    <t>Private equity - direct investments (venture capital - media &amp; communications)</t>
  </si>
  <si>
    <t>Constellation Venture Capital (Offshore), LP</t>
  </si>
  <si>
    <t>Constellation Venture Capital II, LP</t>
  </si>
  <si>
    <t>Constellation Venture Capital II Offshore, LP</t>
  </si>
  <si>
    <t>J.P. Morgan Private Equity Limited (f/k/a Bear Stearns Private Equity Ltd.)</t>
  </si>
  <si>
    <t>Private equity fund listed on the London Stock Exchange.  Buys private equity fund interests in the secondary market.</t>
  </si>
  <si>
    <t>The BSC Employee Fund, LP</t>
  </si>
  <si>
    <t>The BSC Employee Fund II, LP</t>
  </si>
  <si>
    <t>The BSC Employee Fund III, LP</t>
  </si>
  <si>
    <t>Private equity - direct investments (leverage buyouts)</t>
  </si>
  <si>
    <t>The BSC Employee Fund IV, LP</t>
  </si>
  <si>
    <t>Private equity - direct investments (leverage buyouts &amp; venture capital)</t>
  </si>
  <si>
    <t>The BSC Employee Fund V, LP</t>
  </si>
  <si>
    <t>The BSC Employee Fund VI, LP</t>
  </si>
  <si>
    <t>The BSC Employee Fund VII, LP</t>
  </si>
  <si>
    <t>The BSC Employee Fund VIII (Cayman), LP</t>
  </si>
  <si>
    <t>Tiger Migdal, L.P.</t>
  </si>
  <si>
    <t>1. AUM is equal to net asset value plus unfunded commitments for all Funds except J.P. Morgan Private Equity Ltd. ("JPEL") and Tiger Migdal, LP.  AUM for JPEL is based on net asset value and Tiger Migdal's AUM is based on capital commitments.</t>
  </si>
  <si>
    <t xml:space="preserve">2. Annual performance is calculated using Internal Rate of Return ("IRR") since inception for all Funds except for JPEL.  JPEL's annual performance is based on growth in net asset value for the stated period.        </t>
  </si>
  <si>
    <t>3. Performance is calculated annually.</t>
  </si>
  <si>
    <t>2/29/2008 **</t>
  </si>
  <si>
    <t>** Except where noted, all funds valued monthly; 2/29/08 reflects last valuation prior to 3/14/08.</t>
  </si>
  <si>
    <t>FUNDS MANAGED BY BEAR STEARNS ASSET MANAGEMENT INC.</t>
  </si>
  <si>
    <r>
      <t xml:space="preserve">2/29/2008 </t>
    </r>
    <r>
      <rPr>
        <b/>
        <vertAlign val="superscript"/>
        <sz val="10"/>
        <color indexed="9"/>
        <rFont val="Arial"/>
        <family val="2"/>
      </rPr>
      <t>1</t>
    </r>
  </si>
  <si>
    <r>
      <t xml:space="preserve">Bear Stearns Ultra-Short Income Fund (formerly Bear Stearns Enhanced Income Fund), a series of The RBB Fund, Inc. </t>
    </r>
    <r>
      <rPr>
        <vertAlign val="superscript"/>
        <sz val="10"/>
        <rFont val="Arial"/>
        <family val="2"/>
      </rPr>
      <t>2</t>
    </r>
  </si>
  <si>
    <t>To invest in short-term, high quality investments denominated in U.S. Dollars, including both fixed and floating-rate securities.</t>
  </si>
  <si>
    <r>
      <t xml:space="preserve">Bear Stearns High-Grade Structured Credit Strategies Enhanced Leverage Master Fund, Ltd. </t>
    </r>
    <r>
      <rPr>
        <vertAlign val="superscript"/>
        <sz val="10"/>
        <rFont val="Arial"/>
        <family val="2"/>
      </rPr>
      <t>3</t>
    </r>
  </si>
  <si>
    <r>
      <t xml:space="preserve">Bear Stearns High-Grade Structured Credit Strategies Master Fund, Ltd. </t>
    </r>
    <r>
      <rPr>
        <vertAlign val="superscript"/>
        <sz val="10"/>
        <rFont val="Arial"/>
        <family val="2"/>
      </rPr>
      <t>3</t>
    </r>
  </si>
  <si>
    <r>
      <t xml:space="preserve">Bear Stearns Asset Backed Securities Master Fund, Ltd. </t>
    </r>
    <r>
      <rPr>
        <vertAlign val="superscript"/>
        <sz val="10"/>
        <rFont val="Arial"/>
        <family val="2"/>
      </rPr>
      <t>4</t>
    </r>
  </si>
  <si>
    <t>To invest in a U.S. dollar denominated long-only portfolio of below investment grade senior secured commercial loans.</t>
  </si>
  <si>
    <r>
      <t>Bear Stearns Mortgage Opportunities Fund</t>
    </r>
    <r>
      <rPr>
        <vertAlign val="superscript"/>
        <sz val="10"/>
        <rFont val="Arial"/>
        <family val="2"/>
      </rPr>
      <t xml:space="preserve"> 5</t>
    </r>
  </si>
  <si>
    <r>
      <t xml:space="preserve">HedgeSelect / 1861 Municipal Fund LLC </t>
    </r>
    <r>
      <rPr>
        <vertAlign val="superscript"/>
        <sz val="10"/>
        <rFont val="Arial"/>
        <family val="2"/>
      </rPr>
      <t>7</t>
    </r>
  </si>
  <si>
    <r>
      <t xml:space="preserve">HedgeSelect / Arience Capital Select Partners LLC </t>
    </r>
    <r>
      <rPr>
        <vertAlign val="superscript"/>
        <sz val="10"/>
        <rFont val="Arial"/>
        <family val="2"/>
      </rPr>
      <t>7</t>
    </r>
  </si>
  <si>
    <r>
      <t xml:space="preserve">HedgeSelect / Asuka Opportunities Fund LLC  </t>
    </r>
    <r>
      <rPr>
        <vertAlign val="superscript"/>
        <sz val="10"/>
        <rFont val="Arial"/>
        <family val="2"/>
      </rPr>
      <t>7</t>
    </r>
  </si>
  <si>
    <r>
      <t xml:space="preserve">HedgeSelect / Beta Neutral Portfolio LLC  </t>
    </r>
    <r>
      <rPr>
        <vertAlign val="superscript"/>
        <sz val="10"/>
        <rFont val="Arial"/>
        <family val="2"/>
      </rPr>
      <t>6</t>
    </r>
  </si>
  <si>
    <r>
      <t xml:space="preserve">HedgeSelect / Black River Municipal Relative Value Fund LLC  </t>
    </r>
    <r>
      <rPr>
        <vertAlign val="superscript"/>
        <sz val="10"/>
        <rFont val="Arial"/>
        <family val="2"/>
      </rPr>
      <t>7</t>
    </r>
  </si>
  <si>
    <r>
      <t xml:space="preserve">HedgeSelect / Campbell Multi-Strategy Fund LLC </t>
    </r>
    <r>
      <rPr>
        <vertAlign val="superscript"/>
        <sz val="10"/>
        <rFont val="Arial"/>
        <family val="2"/>
      </rPr>
      <t>7</t>
    </r>
  </si>
  <si>
    <r>
      <t xml:space="preserve">HedgeSelect / Canyon Value Realization Fund LLC  </t>
    </r>
    <r>
      <rPr>
        <vertAlign val="superscript"/>
        <sz val="10"/>
        <rFont val="Arial"/>
        <family val="2"/>
      </rPr>
      <t>7</t>
    </r>
  </si>
  <si>
    <r>
      <t xml:space="preserve">HedgeSelect / Chilton QP European Partners Fund LLC </t>
    </r>
    <r>
      <rPr>
        <vertAlign val="superscript"/>
        <sz val="10"/>
        <rFont val="Arial"/>
        <family val="2"/>
      </rPr>
      <t xml:space="preserve"> 7</t>
    </r>
  </si>
  <si>
    <r>
      <t xml:space="preserve">HedgeSelect / Chilton QP Investment Partners Fund LLC </t>
    </r>
    <r>
      <rPr>
        <vertAlign val="superscript"/>
        <sz val="10"/>
        <rFont val="Arial"/>
        <family val="2"/>
      </rPr>
      <t>7</t>
    </r>
  </si>
  <si>
    <r>
      <t xml:space="preserve">HedgeSelect / Chilton Small Cap Partners Fund LLC  </t>
    </r>
    <r>
      <rPr>
        <vertAlign val="superscript"/>
        <sz val="10"/>
        <rFont val="Arial"/>
        <family val="2"/>
      </rPr>
      <t>7</t>
    </r>
  </si>
  <si>
    <r>
      <t xml:space="preserve">HedgeSelect / CRG Partners Fund LLC  </t>
    </r>
    <r>
      <rPr>
        <vertAlign val="superscript"/>
        <sz val="10"/>
        <rFont val="Arial"/>
        <family val="2"/>
      </rPr>
      <t>7</t>
    </r>
  </si>
  <si>
    <r>
      <t xml:space="preserve">HedgeSelect / Deephaven Event Fund LLC  </t>
    </r>
    <r>
      <rPr>
        <vertAlign val="superscript"/>
        <sz val="10"/>
        <rFont val="Arial"/>
        <family val="2"/>
      </rPr>
      <t>7</t>
    </r>
  </si>
  <si>
    <r>
      <t xml:space="preserve">HedgeSelect / Deephaven Market Neutral Fund LLC </t>
    </r>
    <r>
      <rPr>
        <vertAlign val="superscript"/>
        <sz val="10"/>
        <rFont val="Arial"/>
        <family val="2"/>
      </rPr>
      <t>7</t>
    </r>
  </si>
  <si>
    <r>
      <t xml:space="preserve">HedgeSelect / Diversified Portfolio LLC </t>
    </r>
    <r>
      <rPr>
        <vertAlign val="superscript"/>
        <sz val="10"/>
        <rFont val="Arial"/>
        <family val="2"/>
      </rPr>
      <t>6</t>
    </r>
  </si>
  <si>
    <r>
      <t xml:space="preserve">HedgeSelect / Enhanced Beta Portfolio LLC </t>
    </r>
    <r>
      <rPr>
        <vertAlign val="superscript"/>
        <sz val="10"/>
        <rFont val="Arial"/>
        <family val="2"/>
      </rPr>
      <t>6</t>
    </r>
  </si>
  <si>
    <r>
      <t xml:space="preserve">HedgeSelect / FrontPoint Select Multi-Strategy Fund LLC </t>
    </r>
    <r>
      <rPr>
        <vertAlign val="superscript"/>
        <sz val="10"/>
        <rFont val="Arial"/>
        <family val="2"/>
      </rPr>
      <t>7</t>
    </r>
  </si>
  <si>
    <r>
      <t xml:space="preserve">HedgeSelect / HFRX Distressed Securities Tracker Fund LLC  </t>
    </r>
    <r>
      <rPr>
        <vertAlign val="superscript"/>
        <sz val="10"/>
        <rFont val="Arial"/>
        <family val="2"/>
      </rPr>
      <t>7</t>
    </r>
  </si>
  <si>
    <r>
      <t xml:space="preserve">HedgeSelect / Hillsdale Canadian Equity Fund LLC  </t>
    </r>
    <r>
      <rPr>
        <vertAlign val="superscript"/>
        <sz val="10"/>
        <rFont val="Arial"/>
        <family val="2"/>
      </rPr>
      <t>7</t>
    </r>
  </si>
  <si>
    <r>
      <t xml:space="preserve">HedgeSelect / ING Global Real Estate Fund LLC  </t>
    </r>
    <r>
      <rPr>
        <vertAlign val="superscript"/>
        <sz val="10"/>
        <rFont val="Arial"/>
        <family val="2"/>
      </rPr>
      <t>7</t>
    </r>
  </si>
  <si>
    <r>
      <t xml:space="preserve">HedgeSelect / ING US Real Estate Fund LLC  </t>
    </r>
    <r>
      <rPr>
        <vertAlign val="superscript"/>
        <sz val="10"/>
        <rFont val="Arial"/>
        <family val="2"/>
      </rPr>
      <t>7</t>
    </r>
  </si>
  <si>
    <r>
      <t xml:space="preserve">HedgeSelect / Kayne Anderson MLP Fund LLC  </t>
    </r>
    <r>
      <rPr>
        <vertAlign val="superscript"/>
        <sz val="10"/>
        <rFont val="Arial"/>
        <family val="2"/>
      </rPr>
      <t>7</t>
    </r>
  </si>
  <si>
    <r>
      <t xml:space="preserve">HedgeSelect / Mellon AlphaAccess Select Fund LLC  </t>
    </r>
    <r>
      <rPr>
        <vertAlign val="superscript"/>
        <sz val="10"/>
        <rFont val="Arial"/>
        <family val="2"/>
      </rPr>
      <t>7</t>
    </r>
  </si>
  <si>
    <r>
      <t xml:space="preserve">HedgeSelect / Mellon Global Opportunity LLC  </t>
    </r>
    <r>
      <rPr>
        <vertAlign val="superscript"/>
        <sz val="10"/>
        <rFont val="Arial"/>
        <family val="2"/>
      </rPr>
      <t>7</t>
    </r>
  </si>
  <si>
    <r>
      <t xml:space="preserve">HedgeSelect / O'Connor Global Select Market Neutral Fund LLC </t>
    </r>
    <r>
      <rPr>
        <vertAlign val="superscript"/>
        <sz val="10"/>
        <rFont val="Arial"/>
        <family val="2"/>
      </rPr>
      <t>7</t>
    </r>
  </si>
  <si>
    <r>
      <t xml:space="preserve">HedgeSelect / Post Total Return Fund LLC </t>
    </r>
    <r>
      <rPr>
        <vertAlign val="superscript"/>
        <sz val="10"/>
        <rFont val="Arial"/>
        <family val="2"/>
      </rPr>
      <t>7</t>
    </r>
  </si>
  <si>
    <r>
      <t xml:space="preserve">HedgeSelect / Sage Select Fund LLC  </t>
    </r>
    <r>
      <rPr>
        <vertAlign val="superscript"/>
        <sz val="10"/>
        <rFont val="Arial"/>
        <family val="2"/>
      </rPr>
      <t>7</t>
    </r>
  </si>
  <si>
    <r>
      <t xml:space="preserve">HedgeSelect / Sandler Associates Select Fund LLC </t>
    </r>
    <r>
      <rPr>
        <vertAlign val="superscript"/>
        <sz val="10"/>
        <rFont val="Arial"/>
        <family val="2"/>
      </rPr>
      <t>7</t>
    </r>
  </si>
  <si>
    <r>
      <t xml:space="preserve">HedgeSelect / Temujin Fund LLC </t>
    </r>
    <r>
      <rPr>
        <vertAlign val="superscript"/>
        <sz val="10"/>
        <rFont val="Arial"/>
        <family val="2"/>
      </rPr>
      <t>7</t>
    </r>
  </si>
  <si>
    <r>
      <t xml:space="preserve">HedgeSelect / Third Point Fund LLC </t>
    </r>
    <r>
      <rPr>
        <vertAlign val="superscript"/>
        <sz val="10"/>
        <rFont val="Arial"/>
        <family val="2"/>
      </rPr>
      <t>7</t>
    </r>
  </si>
  <si>
    <r>
      <t xml:space="preserve">HedgeSelect / Whippoorwill Distressed Opportunity Fund LLC  </t>
    </r>
    <r>
      <rPr>
        <vertAlign val="superscript"/>
        <sz val="10"/>
        <rFont val="Arial"/>
        <family val="2"/>
      </rPr>
      <t>7</t>
    </r>
  </si>
  <si>
    <r>
      <t xml:space="preserve">HedgeSelect / Whitebox Diversified Select Fund LLC </t>
    </r>
    <r>
      <rPr>
        <vertAlign val="superscript"/>
        <sz val="10"/>
        <rFont val="Arial"/>
        <family val="2"/>
      </rPr>
      <t>7</t>
    </r>
  </si>
  <si>
    <r>
      <t xml:space="preserve">HedgeSelect / Zweig-DiMenna Fund </t>
    </r>
    <r>
      <rPr>
        <vertAlign val="superscript"/>
        <sz val="10"/>
        <rFont val="Arial"/>
        <family val="2"/>
      </rPr>
      <t>9</t>
    </r>
  </si>
  <si>
    <r>
      <t>1</t>
    </r>
    <r>
      <rPr>
        <sz val="10"/>
        <rFont val="Arial"/>
        <family val="2"/>
      </rPr>
      <t xml:space="preserve"> Except where noted, all funds performance calculated monthly; 2/29/08 reflects last performance calculation prior to 3/14/08.</t>
    </r>
  </si>
  <si>
    <r>
      <t>2</t>
    </r>
    <r>
      <rPr>
        <sz val="10"/>
        <rFont val="Arial"/>
        <family val="2"/>
      </rPr>
      <t xml:space="preserve"> Fund valued daily; 2008 assets under management and performance are as of 3/14/08. </t>
    </r>
  </si>
  <si>
    <t xml:space="preserve">3 Fund in liquidation as of July 25, 2007.  2007 assets under management and performance are as of Jun 30, 2007.  </t>
  </si>
  <si>
    <r>
      <t>4 NAV of Fund suspended as of July 31, 2007.</t>
    </r>
  </si>
  <si>
    <r>
      <t xml:space="preserve">5 Fund closed in September 2005.  2005 assets under management and performance are as of Sep 30, 2005.  </t>
    </r>
  </si>
  <si>
    <r>
      <t xml:space="preserve">6 Performance calculated only on an annual basis.  </t>
    </r>
  </si>
  <si>
    <r>
      <t>7</t>
    </r>
    <r>
      <rPr>
        <sz val="10"/>
        <rFont val="Arial"/>
        <family val="2"/>
      </rPr>
      <t xml:space="preserve"> Gross performance.</t>
    </r>
  </si>
  <si>
    <t>JPMorgan Chase &amp; Co. Response to Interrogatory No. 8:</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</si>
</sst>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0.0\)"/>
    <numFmt numFmtId="165" formatCode="_(* #,##0.0_);_(* \(#,##0.0\);_(* &quot;-&quot;??_);_(@_)"/>
    <numFmt numFmtId="166" formatCode="_(* #,##0_);_(* \(#,##0\);_(* &quot;-&quot;??_);_(@_)"/>
    <numFmt numFmtId="167" formatCode="_(* #,##0.000_);_(* \(#,##0.000\);_(* &quot;-&quot;??_);_(@_)"/>
  </numFmts>
  <fonts count="43">
    <font>
      <sz val="10"/>
      <name val="Arial"/>
      <family val="0"/>
    </font>
    <font>
      <sz val="11"/>
      <color indexed="8"/>
      <name val="Calibri"/>
      <family val="2"/>
    </font>
    <font>
      <sz val="10"/>
      <name val="Trebuchet MS"/>
      <family val="2"/>
    </font>
    <font>
      <sz val="12"/>
      <name val="Trebuchet MS"/>
      <family val="2"/>
    </font>
    <font>
      <sz val="14"/>
      <name val="Trebuchet MS"/>
      <family val="2"/>
    </font>
    <font>
      <b/>
      <sz val="12"/>
      <name val="Trebuchet MS"/>
      <family val="2"/>
    </font>
    <font>
      <sz val="8"/>
      <name val="Arial"/>
      <family val="2"/>
    </font>
    <font>
      <sz val="8"/>
      <name val="Trebuchet MS"/>
      <family val="2"/>
    </font>
    <font>
      <b/>
      <sz val="10"/>
      <name val="Trebuchet MS"/>
      <family val="2"/>
    </font>
    <font>
      <b/>
      <u val="single"/>
      <sz val="10"/>
      <name val="Trebuchet MS"/>
      <family val="2"/>
    </font>
    <font>
      <i/>
      <sz val="10"/>
      <name val="Trebuchet MS"/>
      <family val="2"/>
    </font>
    <font>
      <u val="single"/>
      <sz val="10"/>
      <name val="Trebuchet MS"/>
      <family val="2"/>
    </font>
    <font>
      <b/>
      <u val="single"/>
      <vertAlign val="superscript"/>
      <sz val="10"/>
      <name val="Trebuchet MS"/>
      <family val="2"/>
    </font>
    <font>
      <sz val="9"/>
      <name val="Trebuchet MS"/>
      <family val="2"/>
    </font>
    <font>
      <b/>
      <sz val="16"/>
      <name val="Trebuchet MS"/>
      <family val="2"/>
    </font>
    <font>
      <sz val="12"/>
      <name val="Arial"/>
      <family val="2"/>
    </font>
    <font>
      <i/>
      <sz val="12"/>
      <name val="Arial"/>
      <family val="2"/>
    </font>
    <font>
      <b/>
      <u val="single"/>
      <sz val="12"/>
      <name val="Trebuchet MS"/>
      <family val="2"/>
    </font>
    <font>
      <b/>
      <sz val="10"/>
      <color indexed="9"/>
      <name val="Arial"/>
      <family val="2"/>
    </font>
    <font>
      <sz val="14"/>
      <name val="Arial"/>
      <family val="2"/>
    </font>
    <font>
      <sz val="1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name val="Arial"/>
      <family val="2"/>
    </font>
    <font>
      <sz val="11"/>
      <name val="Arial"/>
      <family val="2"/>
    </font>
    <font>
      <b/>
      <vertAlign val="superscript"/>
      <sz val="10"/>
      <color indexed="9"/>
      <name val="Arial"/>
      <family val="2"/>
    </font>
    <font>
      <vertAlign val="superscript"/>
      <sz val="10"/>
      <name val="Arial"/>
      <family val="2"/>
    </font>
    <font>
      <i/>
      <sz val="10"/>
      <name val="Arial"/>
      <family val="2"/>
    </font>
    <font>
      <b/>
      <sz val="12"/>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18"/>
        <bgColor indexed="64"/>
      </patternFill>
    </fill>
    <fill>
      <patternFill patternType="solid">
        <fgColor indexed="40"/>
        <bgColor indexed="64"/>
      </patternFill>
    </fill>
  </fills>
  <borders count="4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top style="thin"/>
      <bottom style="thin"/>
    </border>
    <border>
      <left/>
      <right style="thin"/>
      <top style="thin"/>
      <bottom style="thin"/>
    </border>
    <border>
      <left style="thin"/>
      <right/>
      <top/>
      <bottom style="thin"/>
    </border>
    <border>
      <left/>
      <right style="thin"/>
      <top/>
      <bottom style="thin"/>
    </border>
    <border>
      <left style="dotted"/>
      <right style="dotted"/>
      <top style="thin"/>
      <bottom style="thin"/>
    </border>
    <border>
      <left style="dotted"/>
      <right style="dotted"/>
      <top/>
      <bottom style="thin"/>
    </border>
    <border>
      <left/>
      <right/>
      <top/>
      <bottom style="medium"/>
    </border>
    <border>
      <left/>
      <right style="dotted"/>
      <top style="thin"/>
      <bottom style="thin"/>
    </border>
    <border>
      <left/>
      <right/>
      <top/>
      <bottom style="thin"/>
    </border>
    <border>
      <left style="dotted"/>
      <right style="thin"/>
      <top style="thin"/>
      <bottom style="thin"/>
    </border>
    <border>
      <left/>
      <right/>
      <top style="thin"/>
      <bottom/>
    </border>
    <border>
      <left/>
      <right/>
      <top/>
      <bottom style="dotted"/>
    </border>
    <border>
      <left/>
      <right/>
      <top style="dotted"/>
      <bottom style="dotted"/>
    </border>
    <border>
      <left/>
      <right/>
      <top style="dotted"/>
      <bottom/>
    </border>
    <border>
      <left/>
      <right/>
      <top/>
      <bottom style="double"/>
    </border>
    <border>
      <left/>
      <right/>
      <top style="thin"/>
      <bottom style="double"/>
    </border>
    <border>
      <left/>
      <right/>
      <top style="thin"/>
      <bottom style="thin"/>
    </border>
    <border>
      <left style="dotted"/>
      <right/>
      <top style="thin"/>
      <bottom style="thin"/>
    </border>
    <border>
      <left/>
      <right style="dotted"/>
      <top/>
      <bottom/>
    </border>
    <border>
      <left/>
      <right style="dotted"/>
      <top/>
      <bottom style="thin"/>
    </border>
    <border>
      <left/>
      <right style="dotted"/>
      <top style="thin"/>
      <bottom/>
    </border>
    <border>
      <left style="dotted"/>
      <right/>
      <top style="thin"/>
      <bottom/>
    </border>
    <border>
      <left style="dotted"/>
      <right style="dotted"/>
      <top style="thin"/>
      <bottom/>
    </border>
    <border>
      <left style="dotted"/>
      <right style="dotted"/>
      <top/>
      <bottom/>
    </border>
    <border>
      <left style="dotted"/>
      <right/>
      <top/>
      <bottom style="thin"/>
    </border>
    <border>
      <left style="dotted"/>
      <right/>
      <top/>
      <bottom/>
    </border>
    <border>
      <left style="thin"/>
      <right style="thin"/>
      <top style="thin"/>
      <bottom style="thin"/>
    </border>
    <border>
      <left>
        <color indexed="63"/>
      </left>
      <right style="thin"/>
      <top style="thin"/>
      <bottom style="thin"/>
    </border>
    <border>
      <left style="thin"/>
      <right style="dotted"/>
      <top style="thin"/>
      <bottom/>
    </border>
    <border>
      <left style="thin"/>
      <right style="dotted"/>
      <top/>
      <bottom/>
    </border>
    <border>
      <left style="thin"/>
      <right style="dotted"/>
      <top/>
      <bottom style="thin"/>
    </border>
    <border>
      <left style="thin"/>
      <right style="thin"/>
      <top style="thin"/>
      <bottom/>
    </border>
    <border>
      <left style="thin"/>
      <right style="thin"/>
      <top/>
      <bottom/>
    </border>
    <border>
      <left style="thin"/>
      <right style="thin"/>
      <top/>
      <bottom style="thin"/>
    </border>
    <border>
      <left style="dotted"/>
      <right style="thin"/>
      <top style="thin"/>
      <bottom/>
    </border>
    <border>
      <left style="dotted"/>
      <right style="thin"/>
      <top/>
      <bottom/>
    </border>
    <border>
      <left style="dotted"/>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9" borderId="0" applyNumberFormat="0" applyBorder="0" applyAlignment="0" applyProtection="0"/>
    <xf numFmtId="0" fontId="26" fillId="3" borderId="0" applyNumberFormat="0" applyBorder="0" applyAlignment="0" applyProtection="0"/>
    <xf numFmtId="0" fontId="30" fillId="20" borderId="1" applyNumberFormat="0" applyAlignment="0" applyProtection="0"/>
    <xf numFmtId="0" fontId="3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25"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8" fillId="7" borderId="1" applyNumberFormat="0" applyAlignment="0" applyProtection="0"/>
    <xf numFmtId="0" fontId="31" fillId="0" borderId="6" applyNumberFormat="0" applyFill="0" applyAlignment="0" applyProtection="0"/>
    <xf numFmtId="0" fontId="27" fillId="22" borderId="0" applyNumberFormat="0" applyBorder="0" applyAlignment="0" applyProtection="0"/>
    <xf numFmtId="0" fontId="0" fillId="0" borderId="0">
      <alignment/>
      <protection/>
    </xf>
    <xf numFmtId="0" fontId="2" fillId="0" borderId="0">
      <alignment/>
      <protection/>
    </xf>
    <xf numFmtId="0" fontId="0"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35" fillId="0" borderId="9" applyNumberFormat="0" applyFill="0" applyAlignment="0" applyProtection="0"/>
    <xf numFmtId="0" fontId="33" fillId="0" borderId="0" applyNumberFormat="0" applyFill="0" applyBorder="0" applyAlignment="0" applyProtection="0"/>
  </cellStyleXfs>
  <cellXfs count="315">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center" wrapText="1"/>
    </xf>
    <xf numFmtId="0" fontId="2" fillId="0" borderId="10" xfId="0" applyFont="1" applyBorder="1" applyAlignment="1">
      <alignment/>
    </xf>
    <xf numFmtId="0" fontId="2" fillId="0" borderId="11" xfId="0" applyFont="1" applyBorder="1" applyAlignment="1">
      <alignment horizontal="center"/>
    </xf>
    <xf numFmtId="0" fontId="2" fillId="0" borderId="12" xfId="0" applyFont="1" applyBorder="1" applyAlignment="1" quotePrefix="1">
      <alignment/>
    </xf>
    <xf numFmtId="0" fontId="2" fillId="0" borderId="13" xfId="0" applyFont="1" applyBorder="1" applyAlignment="1">
      <alignment horizontal="center"/>
    </xf>
    <xf numFmtId="0" fontId="2" fillId="0" borderId="10" xfId="0" applyFont="1" applyBorder="1" applyAlignment="1" quotePrefix="1">
      <alignment/>
    </xf>
    <xf numFmtId="0" fontId="2" fillId="0" borderId="14" xfId="0" applyFont="1" applyBorder="1" applyAlignment="1" quotePrefix="1">
      <alignment horizontal="center"/>
    </xf>
    <xf numFmtId="0" fontId="2" fillId="0" borderId="14" xfId="0" applyFont="1" applyBorder="1" applyAlignment="1" quotePrefix="1">
      <alignment horizontal="center" wrapText="1"/>
    </xf>
    <xf numFmtId="0" fontId="2" fillId="0" borderId="14" xfId="0" applyFont="1" applyBorder="1" applyAlignment="1">
      <alignment horizontal="center" wrapText="1"/>
    </xf>
    <xf numFmtId="0" fontId="2" fillId="0" borderId="15" xfId="0" applyFont="1" applyBorder="1" applyAlignment="1">
      <alignment horizontal="center" wrapText="1"/>
    </xf>
    <xf numFmtId="0" fontId="2" fillId="0" borderId="14" xfId="0" applyFont="1" applyBorder="1" applyAlignment="1">
      <alignment wrapText="1"/>
    </xf>
    <xf numFmtId="0" fontId="2" fillId="0" borderId="14" xfId="0" applyFont="1" applyBorder="1" applyAlignment="1">
      <alignment horizontal="center"/>
    </xf>
    <xf numFmtId="0" fontId="8" fillId="0" borderId="16" xfId="56" applyFont="1" applyBorder="1">
      <alignment/>
      <protection/>
    </xf>
    <xf numFmtId="0" fontId="2" fillId="0" borderId="16" xfId="56" applyFont="1" applyBorder="1">
      <alignment/>
      <protection/>
    </xf>
    <xf numFmtId="0" fontId="2" fillId="0" borderId="0" xfId="56" applyFont="1">
      <alignment/>
      <protection/>
    </xf>
    <xf numFmtId="0" fontId="2" fillId="0" borderId="0" xfId="56" applyFont="1" applyBorder="1">
      <alignment/>
      <protection/>
    </xf>
    <xf numFmtId="0" fontId="9" fillId="0" borderId="0" xfId="56" applyFont="1" applyAlignment="1">
      <alignment horizontal="center"/>
      <protection/>
    </xf>
    <xf numFmtId="0" fontId="2" fillId="0" borderId="16" xfId="56" applyFont="1" applyBorder="1" applyAlignment="1">
      <alignment horizontal="center"/>
      <protection/>
    </xf>
    <xf numFmtId="0" fontId="2" fillId="0" borderId="0" xfId="56" applyFont="1" applyBorder="1" applyAlignment="1">
      <alignment horizontal="center"/>
      <protection/>
    </xf>
    <xf numFmtId="0" fontId="2" fillId="0" borderId="16" xfId="56" applyFont="1" applyBorder="1" applyAlignment="1">
      <alignment horizontal="center" wrapText="1"/>
      <protection/>
    </xf>
    <xf numFmtId="0" fontId="2" fillId="0" borderId="0" xfId="56" applyFont="1" applyAlignment="1">
      <alignment horizontal="center"/>
      <protection/>
    </xf>
    <xf numFmtId="0" fontId="2" fillId="0" borderId="16" xfId="56" applyFont="1" applyFill="1" applyBorder="1" applyAlignment="1">
      <alignment horizontal="center" wrapText="1"/>
      <protection/>
    </xf>
    <xf numFmtId="164" fontId="2" fillId="0" borderId="0" xfId="56" applyNumberFormat="1" applyFont="1">
      <alignment/>
      <protection/>
    </xf>
    <xf numFmtId="164" fontId="2" fillId="0" borderId="0" xfId="56" applyNumberFormat="1" applyFont="1" applyBorder="1">
      <alignment/>
      <protection/>
    </xf>
    <xf numFmtId="0" fontId="8" fillId="20" borderId="0" xfId="56" applyFont="1" applyFill="1">
      <alignment/>
      <protection/>
    </xf>
    <xf numFmtId="0" fontId="2" fillId="20" borderId="0" xfId="56" applyFont="1" applyFill="1">
      <alignment/>
      <protection/>
    </xf>
    <xf numFmtId="164" fontId="2" fillId="20" borderId="0" xfId="56" applyNumberFormat="1" applyFont="1" applyFill="1">
      <alignment/>
      <protection/>
    </xf>
    <xf numFmtId="164" fontId="2" fillId="20" borderId="0" xfId="56" applyNumberFormat="1" applyFont="1" applyFill="1" applyBorder="1">
      <alignment/>
      <protection/>
    </xf>
    <xf numFmtId="0" fontId="9" fillId="0" borderId="0" xfId="56" applyFont="1">
      <alignment/>
      <protection/>
    </xf>
    <xf numFmtId="0" fontId="10" fillId="0" borderId="0" xfId="56" applyFont="1" applyAlignment="1">
      <alignment horizontal="right"/>
      <protection/>
    </xf>
    <xf numFmtId="164" fontId="10" fillId="0" borderId="0" xfId="56" applyNumberFormat="1" applyFont="1">
      <alignment/>
      <protection/>
    </xf>
    <xf numFmtId="164" fontId="10" fillId="0" borderId="0" xfId="56" applyNumberFormat="1" applyFont="1" applyBorder="1">
      <alignment/>
      <protection/>
    </xf>
    <xf numFmtId="0" fontId="8" fillId="0" borderId="0" xfId="56" applyFont="1">
      <alignment/>
      <protection/>
    </xf>
    <xf numFmtId="0" fontId="11" fillId="0" borderId="0" xfId="56" applyFont="1">
      <alignment/>
      <protection/>
    </xf>
    <xf numFmtId="0" fontId="2" fillId="0" borderId="0" xfId="56" applyFont="1" applyFill="1">
      <alignment/>
      <protection/>
    </xf>
    <xf numFmtId="0" fontId="2" fillId="0" borderId="15" xfId="0" applyFont="1" applyBorder="1" applyAlignment="1">
      <alignment horizontal="center"/>
    </xf>
    <xf numFmtId="16" fontId="2" fillId="0" borderId="14" xfId="0" applyNumberFormat="1" applyFont="1" applyBorder="1" applyAlignment="1" quotePrefix="1">
      <alignment horizontal="center"/>
    </xf>
    <xf numFmtId="0" fontId="2" fillId="0" borderId="17" xfId="0" applyFont="1" applyBorder="1" applyAlignment="1">
      <alignment horizontal="center" wrapText="1"/>
    </xf>
    <xf numFmtId="0" fontId="5" fillId="0" borderId="0" xfId="0" applyFont="1" applyFill="1" applyAlignment="1">
      <alignment horizontal="center" wrapText="1"/>
    </xf>
    <xf numFmtId="0" fontId="2" fillId="0" borderId="0" xfId="56" applyFont="1" quotePrefix="1">
      <alignment/>
      <protection/>
    </xf>
    <xf numFmtId="165" fontId="2" fillId="0" borderId="0" xfId="42" applyNumberFormat="1" applyFont="1" applyAlignment="1">
      <alignment/>
    </xf>
    <xf numFmtId="165" fontId="2" fillId="0" borderId="18" xfId="42" applyNumberFormat="1" applyFont="1" applyBorder="1" applyAlignment="1">
      <alignment/>
    </xf>
    <xf numFmtId="165" fontId="10" fillId="0" borderId="0" xfId="42" applyNumberFormat="1" applyFont="1" applyAlignment="1">
      <alignment/>
    </xf>
    <xf numFmtId="165" fontId="8" fillId="0" borderId="0" xfId="42" applyNumberFormat="1" applyFont="1" applyAlignment="1">
      <alignment/>
    </xf>
    <xf numFmtId="165" fontId="2" fillId="20" borderId="0" xfId="42" applyNumberFormat="1" applyFont="1" applyFill="1" applyAlignment="1">
      <alignment/>
    </xf>
    <xf numFmtId="165" fontId="2" fillId="20" borderId="0" xfId="42" applyNumberFormat="1" applyFont="1" applyFill="1" applyBorder="1" applyAlignment="1">
      <alignment/>
    </xf>
    <xf numFmtId="165" fontId="10" fillId="0" borderId="18" xfId="42" applyNumberFormat="1" applyFont="1" applyBorder="1" applyAlignment="1">
      <alignment/>
    </xf>
    <xf numFmtId="165" fontId="2" fillId="0" borderId="18" xfId="42" applyNumberFormat="1" applyFont="1" applyBorder="1" applyAlignment="1" quotePrefix="1">
      <alignment/>
    </xf>
    <xf numFmtId="165" fontId="10" fillId="0" borderId="0" xfId="42" applyNumberFormat="1" applyFont="1" applyBorder="1" applyAlignment="1">
      <alignment/>
    </xf>
    <xf numFmtId="0" fontId="13" fillId="0" borderId="0" xfId="56" applyFont="1" quotePrefix="1">
      <alignment/>
      <protection/>
    </xf>
    <xf numFmtId="0" fontId="9" fillId="0" borderId="0" xfId="56" applyFont="1" applyAlignment="1">
      <alignment wrapText="1"/>
      <protection/>
    </xf>
    <xf numFmtId="0" fontId="8" fillId="0" borderId="0" xfId="56" applyFont="1" applyAlignment="1">
      <alignment horizontal="center" wrapText="1"/>
      <protection/>
    </xf>
    <xf numFmtId="0" fontId="2" fillId="0" borderId="19" xfId="0" applyFont="1" applyBorder="1" applyAlignment="1" quotePrefix="1">
      <alignment horizontal="center"/>
    </xf>
    <xf numFmtId="165" fontId="10" fillId="0" borderId="20" xfId="42" applyNumberFormat="1" applyFont="1" applyBorder="1" applyAlignment="1">
      <alignment/>
    </xf>
    <xf numFmtId="164" fontId="10" fillId="0" borderId="20" xfId="56" applyNumberFormat="1" applyFont="1" applyBorder="1">
      <alignment/>
      <protection/>
    </xf>
    <xf numFmtId="164" fontId="2" fillId="0" borderId="20" xfId="56" applyNumberFormat="1" applyFont="1" applyBorder="1">
      <alignment/>
      <protection/>
    </xf>
    <xf numFmtId="164" fontId="2" fillId="0" borderId="18" xfId="56" applyNumberFormat="1" applyFont="1" applyBorder="1">
      <alignment/>
      <protection/>
    </xf>
    <xf numFmtId="164" fontId="8" fillId="0" borderId="0" xfId="56" applyNumberFormat="1" applyFont="1" applyBorder="1">
      <alignment/>
      <protection/>
    </xf>
    <xf numFmtId="164" fontId="8" fillId="0" borderId="18" xfId="56" applyNumberFormat="1" applyFont="1" applyBorder="1">
      <alignment/>
      <protection/>
    </xf>
    <xf numFmtId="165" fontId="8" fillId="0" borderId="20" xfId="42" applyNumberFormat="1" applyFont="1" applyBorder="1" applyAlignment="1">
      <alignment/>
    </xf>
    <xf numFmtId="164" fontId="2" fillId="0" borderId="0" xfId="56" applyNumberFormat="1" applyFont="1" applyBorder="1" applyAlignment="1">
      <alignment wrapText="1"/>
      <protection/>
    </xf>
    <xf numFmtId="0" fontId="2" fillId="0" borderId="0" xfId="56" applyFont="1" applyAlignment="1">
      <alignment wrapText="1"/>
      <protection/>
    </xf>
    <xf numFmtId="0" fontId="2" fillId="0" borderId="0" xfId="56" applyFont="1" applyAlignment="1">
      <alignment horizontal="center" wrapText="1"/>
      <protection/>
    </xf>
    <xf numFmtId="165" fontId="2" fillId="24" borderId="0" xfId="42" applyNumberFormat="1" applyFont="1" applyFill="1" applyAlignment="1">
      <alignment/>
    </xf>
    <xf numFmtId="164" fontId="2" fillId="24" borderId="0" xfId="56" applyNumberFormat="1" applyFont="1" applyFill="1" applyBorder="1">
      <alignment/>
      <protection/>
    </xf>
    <xf numFmtId="165" fontId="8" fillId="24" borderId="0" xfId="42" applyNumberFormat="1" applyFont="1" applyFill="1" applyAlignment="1">
      <alignment/>
    </xf>
    <xf numFmtId="164" fontId="2" fillId="24" borderId="18" xfId="56" applyNumberFormat="1" applyFont="1" applyFill="1" applyBorder="1">
      <alignment/>
      <protection/>
    </xf>
    <xf numFmtId="0" fontId="5" fillId="0" borderId="0" xfId="0" applyFont="1" applyAlignment="1">
      <alignment horizontal="center"/>
    </xf>
    <xf numFmtId="0" fontId="14" fillId="0" borderId="16" xfId="56" applyFont="1" applyBorder="1">
      <alignment/>
      <protection/>
    </xf>
    <xf numFmtId="0" fontId="2" fillId="0" borderId="0" xfId="56" applyFont="1" applyAlignment="1">
      <alignment vertical="center"/>
      <protection/>
    </xf>
    <xf numFmtId="164" fontId="2" fillId="0" borderId="0" xfId="56" applyNumberFormat="1" applyFont="1" applyBorder="1" applyAlignment="1">
      <alignment vertical="center" wrapText="1"/>
      <protection/>
    </xf>
    <xf numFmtId="164" fontId="2" fillId="0" borderId="0" xfId="56" applyNumberFormat="1" applyFont="1" applyBorder="1" applyAlignment="1">
      <alignment vertical="center"/>
      <protection/>
    </xf>
    <xf numFmtId="165" fontId="2" fillId="0" borderId="0" xfId="42" applyNumberFormat="1" applyFont="1" applyAlignment="1">
      <alignment vertical="center"/>
    </xf>
    <xf numFmtId="0" fontId="2" fillId="0" borderId="0" xfId="56" applyFont="1" applyAlignment="1">
      <alignment vertical="center" wrapText="1"/>
      <protection/>
    </xf>
    <xf numFmtId="165" fontId="2" fillId="0" borderId="18" xfId="42" applyNumberFormat="1" applyFont="1" applyBorder="1" applyAlignment="1">
      <alignment vertical="center"/>
    </xf>
    <xf numFmtId="164" fontId="2" fillId="0" borderId="18" xfId="56" applyNumberFormat="1" applyFont="1" applyBorder="1" applyAlignment="1">
      <alignment vertical="center"/>
      <protection/>
    </xf>
    <xf numFmtId="165" fontId="8" fillId="24" borderId="0" xfId="42" applyNumberFormat="1" applyFont="1" applyFill="1" applyAlignment="1">
      <alignment vertical="center"/>
    </xf>
    <xf numFmtId="164" fontId="2" fillId="24" borderId="0" xfId="56" applyNumberFormat="1" applyFont="1" applyFill="1" applyBorder="1" applyAlignment="1">
      <alignment vertical="center"/>
      <protection/>
    </xf>
    <xf numFmtId="165" fontId="2" fillId="24" borderId="0" xfId="42" applyNumberFormat="1" applyFont="1" applyFill="1" applyAlignment="1">
      <alignment vertical="center"/>
    </xf>
    <xf numFmtId="165" fontId="8" fillId="0" borderId="0" xfId="42" applyNumberFormat="1" applyFont="1" applyAlignment="1">
      <alignment vertical="center"/>
    </xf>
    <xf numFmtId="0" fontId="9" fillId="0" borderId="0" xfId="56" applyFont="1" applyAlignment="1">
      <alignment vertical="center"/>
      <protection/>
    </xf>
    <xf numFmtId="165" fontId="2" fillId="0" borderId="0" xfId="42" applyNumberFormat="1" applyFont="1" applyBorder="1" applyAlignment="1">
      <alignment vertical="center"/>
    </xf>
    <xf numFmtId="0" fontId="2" fillId="0" borderId="16" xfId="56" applyFont="1" applyBorder="1" applyAlignment="1">
      <alignment wrapText="1"/>
      <protection/>
    </xf>
    <xf numFmtId="0" fontId="2" fillId="20" borderId="0" xfId="56" applyFont="1" applyFill="1" applyAlignment="1">
      <alignment wrapText="1"/>
      <protection/>
    </xf>
    <xf numFmtId="0" fontId="10" fillId="0" borderId="0" xfId="56" applyFont="1" applyAlignment="1">
      <alignment horizontal="center" wrapText="1"/>
      <protection/>
    </xf>
    <xf numFmtId="0" fontId="8" fillId="0" borderId="0" xfId="56" applyFont="1" applyAlignment="1">
      <alignment wrapText="1"/>
      <protection/>
    </xf>
    <xf numFmtId="0" fontId="11" fillId="0" borderId="0" xfId="56" applyFont="1" applyAlignment="1">
      <alignment vertical="center" wrapText="1"/>
      <protection/>
    </xf>
    <xf numFmtId="0" fontId="2" fillId="0" borderId="0" xfId="56" applyFont="1" applyFill="1" applyAlignment="1">
      <alignment wrapText="1"/>
      <protection/>
    </xf>
    <xf numFmtId="0" fontId="10" fillId="0" borderId="0" xfId="56" applyFont="1" applyAlignment="1">
      <alignment horizontal="right" wrapText="1"/>
      <protection/>
    </xf>
    <xf numFmtId="0" fontId="2" fillId="0" borderId="21" xfId="56" applyFont="1" applyBorder="1" applyAlignment="1">
      <alignment vertical="center" wrapText="1"/>
      <protection/>
    </xf>
    <xf numFmtId="164" fontId="2" fillId="0" borderId="21" xfId="56" applyNumberFormat="1" applyFont="1" applyBorder="1" applyAlignment="1">
      <alignment vertical="center"/>
      <protection/>
    </xf>
    <xf numFmtId="164" fontId="2" fillId="0" borderId="21" xfId="56" applyNumberFormat="1" applyFont="1" applyBorder="1" applyAlignment="1">
      <alignment vertical="center" wrapText="1"/>
      <protection/>
    </xf>
    <xf numFmtId="165" fontId="2" fillId="0" borderId="21" xfId="42" applyNumberFormat="1" applyFont="1" applyBorder="1" applyAlignment="1">
      <alignment vertical="center"/>
    </xf>
    <xf numFmtId="0" fontId="2" fillId="0" borderId="22" xfId="56" applyFont="1" applyBorder="1" applyAlignment="1">
      <alignment vertical="center" wrapText="1"/>
      <protection/>
    </xf>
    <xf numFmtId="164" fontId="2" fillId="0" borderId="22" xfId="56" applyNumberFormat="1" applyFont="1" applyBorder="1" applyAlignment="1">
      <alignment vertical="center"/>
      <protection/>
    </xf>
    <xf numFmtId="164" fontId="2" fillId="0" borderId="22" xfId="56" applyNumberFormat="1" applyFont="1" applyBorder="1" applyAlignment="1">
      <alignment vertical="center" wrapText="1"/>
      <protection/>
    </xf>
    <xf numFmtId="165" fontId="2" fillId="0" borderId="22" xfId="42" applyNumberFormat="1" applyFont="1" applyBorder="1" applyAlignment="1">
      <alignment vertical="center"/>
    </xf>
    <xf numFmtId="0" fontId="2" fillId="24" borderId="22" xfId="56" applyFont="1" applyFill="1" applyBorder="1" applyAlignment="1">
      <alignment wrapText="1"/>
      <protection/>
    </xf>
    <xf numFmtId="164" fontId="2" fillId="0" borderId="22" xfId="56" applyNumberFormat="1" applyFont="1" applyBorder="1">
      <alignment/>
      <protection/>
    </xf>
    <xf numFmtId="165" fontId="2" fillId="0" borderId="22" xfId="42" applyNumberFormat="1" applyFont="1" applyBorder="1" applyAlignment="1">
      <alignment/>
    </xf>
    <xf numFmtId="0" fontId="2" fillId="0" borderId="23" xfId="56" applyFont="1" applyBorder="1" applyAlignment="1">
      <alignment wrapText="1"/>
      <protection/>
    </xf>
    <xf numFmtId="164" fontId="2" fillId="0" borderId="23" xfId="56" applyNumberFormat="1" applyFont="1" applyBorder="1">
      <alignment/>
      <protection/>
    </xf>
    <xf numFmtId="165" fontId="2" fillId="0" borderId="23" xfId="42" applyNumberFormat="1" applyFont="1" applyBorder="1" applyAlignment="1">
      <alignment/>
    </xf>
    <xf numFmtId="164" fontId="2" fillId="0" borderId="22" xfId="56" applyNumberFormat="1" applyFont="1" applyBorder="1" applyAlignment="1" quotePrefix="1">
      <alignment horizontal="center" vertical="center"/>
      <protection/>
    </xf>
    <xf numFmtId="0" fontId="2" fillId="0" borderId="22" xfId="56" applyFont="1" applyBorder="1" applyAlignment="1">
      <alignment wrapText="1"/>
      <protection/>
    </xf>
    <xf numFmtId="0" fontId="2" fillId="0" borderId="21" xfId="56" applyFont="1" applyBorder="1" applyAlignment="1">
      <alignment wrapText="1"/>
      <protection/>
    </xf>
    <xf numFmtId="164" fontId="2" fillId="0" borderId="21" xfId="56" applyNumberFormat="1" applyFont="1" applyBorder="1">
      <alignment/>
      <protection/>
    </xf>
    <xf numFmtId="164" fontId="2" fillId="0" borderId="21" xfId="56" applyNumberFormat="1" applyFont="1" applyBorder="1" applyAlignment="1">
      <alignment wrapText="1"/>
      <protection/>
    </xf>
    <xf numFmtId="165" fontId="2" fillId="0" borderId="21" xfId="42" applyNumberFormat="1" applyFont="1" applyBorder="1" applyAlignment="1">
      <alignment/>
    </xf>
    <xf numFmtId="165" fontId="2" fillId="0" borderId="21" xfId="42" applyNumberFormat="1" applyFont="1" applyBorder="1" applyAlignment="1">
      <alignment vertical="center" wrapText="1"/>
    </xf>
    <xf numFmtId="165" fontId="8" fillId="0" borderId="24" xfId="42" applyNumberFormat="1" applyFont="1" applyBorder="1" applyAlignment="1">
      <alignment/>
    </xf>
    <xf numFmtId="165" fontId="2" fillId="0" borderId="24" xfId="42" applyNumberFormat="1" applyFont="1" applyBorder="1" applyAlignment="1">
      <alignment/>
    </xf>
    <xf numFmtId="164" fontId="2" fillId="0" borderId="24" xfId="56" applyNumberFormat="1" applyFont="1" applyBorder="1">
      <alignment/>
      <protection/>
    </xf>
    <xf numFmtId="0" fontId="2" fillId="0" borderId="24" xfId="56" applyFont="1" applyBorder="1">
      <alignment/>
      <protection/>
    </xf>
    <xf numFmtId="165" fontId="8" fillId="0" borderId="25" xfId="42" applyNumberFormat="1" applyFont="1" applyBorder="1" applyAlignment="1">
      <alignment/>
    </xf>
    <xf numFmtId="164" fontId="2" fillId="0" borderId="0" xfId="56" applyNumberFormat="1" applyFont="1" applyAlignment="1">
      <alignment horizontal="center"/>
      <protection/>
    </xf>
    <xf numFmtId="164" fontId="2" fillId="20" borderId="0" xfId="56" applyNumberFormat="1" applyFont="1" applyFill="1" applyAlignment="1">
      <alignment horizontal="center"/>
      <protection/>
    </xf>
    <xf numFmtId="164" fontId="2" fillId="0" borderId="21" xfId="56" applyNumberFormat="1" applyFont="1" applyBorder="1" applyAlignment="1">
      <alignment horizontal="center" vertical="center"/>
      <protection/>
    </xf>
    <xf numFmtId="164" fontId="2" fillId="0" borderId="22" xfId="56" applyNumberFormat="1" applyFont="1" applyBorder="1" applyAlignment="1">
      <alignment horizontal="center" vertical="center"/>
      <protection/>
    </xf>
    <xf numFmtId="164" fontId="2" fillId="0" borderId="22" xfId="56" applyNumberFormat="1" applyFont="1" applyBorder="1" applyAlignment="1">
      <alignment horizontal="center"/>
      <protection/>
    </xf>
    <xf numFmtId="164" fontId="10" fillId="0" borderId="0" xfId="56" applyNumberFormat="1" applyFont="1" applyAlignment="1">
      <alignment horizontal="center"/>
      <protection/>
    </xf>
    <xf numFmtId="164" fontId="2" fillId="0" borderId="21" xfId="56" applyNumberFormat="1" applyFont="1" applyBorder="1" applyAlignment="1">
      <alignment horizontal="center" vertical="center" wrapText="1"/>
      <protection/>
    </xf>
    <xf numFmtId="164" fontId="2" fillId="0" borderId="23" xfId="56" applyNumberFormat="1" applyFont="1" applyBorder="1" applyAlignment="1">
      <alignment horizontal="center"/>
      <protection/>
    </xf>
    <xf numFmtId="164" fontId="2" fillId="0" borderId="21" xfId="56" applyNumberFormat="1" applyFont="1" applyBorder="1" applyAlignment="1">
      <alignment horizontal="center"/>
      <protection/>
    </xf>
    <xf numFmtId="164" fontId="2" fillId="0" borderId="0" xfId="56" applyNumberFormat="1" applyFont="1" applyAlignment="1">
      <alignment horizontal="center" vertical="center"/>
      <protection/>
    </xf>
    <xf numFmtId="0" fontId="8" fillId="20" borderId="0" xfId="56" applyFont="1" applyFill="1" applyAlignment="1">
      <alignment vertical="center"/>
      <protection/>
    </xf>
    <xf numFmtId="165" fontId="2" fillId="0" borderId="0" xfId="42" applyNumberFormat="1" applyFont="1" applyBorder="1" applyAlignment="1">
      <alignment/>
    </xf>
    <xf numFmtId="164" fontId="2" fillId="0" borderId="0" xfId="56" applyNumberFormat="1" applyFont="1" applyAlignment="1" quotePrefix="1">
      <alignment horizontal="center"/>
      <protection/>
    </xf>
    <xf numFmtId="164" fontId="2" fillId="0" borderId="0" xfId="56" applyNumberFormat="1" applyFont="1" applyAlignment="1" quotePrefix="1">
      <alignment horizontal="center" vertical="center"/>
      <protection/>
    </xf>
    <xf numFmtId="0" fontId="5" fillId="0" borderId="0" xfId="0" applyFont="1" applyAlignment="1" quotePrefix="1">
      <alignment horizontal="center" wrapText="1"/>
    </xf>
    <xf numFmtId="0" fontId="2" fillId="0" borderId="18" xfId="56" applyFont="1" applyBorder="1" applyAlignment="1">
      <alignment horizontal="center" wrapText="1"/>
      <protection/>
    </xf>
    <xf numFmtId="0" fontId="3" fillId="0" borderId="26" xfId="0" applyFont="1" applyBorder="1" applyAlignment="1">
      <alignment wrapText="1"/>
    </xf>
    <xf numFmtId="0" fontId="3" fillId="0" borderId="10" xfId="0" applyFont="1" applyBorder="1" applyAlignment="1">
      <alignment/>
    </xf>
    <xf numFmtId="0" fontId="3" fillId="0" borderId="10" xfId="0" applyFont="1" applyBorder="1" applyAlignment="1" quotePrefix="1">
      <alignment/>
    </xf>
    <xf numFmtId="0" fontId="3" fillId="0" borderId="26" xfId="0" applyFont="1" applyBorder="1" applyAlignment="1" quotePrefix="1">
      <alignment wrapText="1"/>
    </xf>
    <xf numFmtId="0" fontId="3" fillId="0" borderId="27" xfId="0" applyFont="1" applyBorder="1" applyAlignment="1">
      <alignment wrapText="1"/>
    </xf>
    <xf numFmtId="0" fontId="3" fillId="0" borderId="27" xfId="0" applyFont="1" applyBorder="1" applyAlignment="1" quotePrefix="1">
      <alignment wrapText="1"/>
    </xf>
    <xf numFmtId="0" fontId="3" fillId="0" borderId="14" xfId="0" applyFont="1" applyFill="1" applyBorder="1" applyAlignment="1">
      <alignment horizontal="center" wrapText="1"/>
    </xf>
    <xf numFmtId="0" fontId="3" fillId="0" borderId="14" xfId="0" applyFont="1" applyFill="1" applyBorder="1" applyAlignment="1">
      <alignment horizontal="center"/>
    </xf>
    <xf numFmtId="165" fontId="3" fillId="0" borderId="26" xfId="42" applyNumberFormat="1" applyFont="1" applyBorder="1" applyAlignment="1">
      <alignment wrapText="1"/>
    </xf>
    <xf numFmtId="165" fontId="3" fillId="0" borderId="14" xfId="42" applyNumberFormat="1" applyFont="1" applyBorder="1" applyAlignment="1">
      <alignment wrapText="1"/>
    </xf>
    <xf numFmtId="165" fontId="3" fillId="0" borderId="17" xfId="42" applyNumberFormat="1" applyFont="1" applyBorder="1" applyAlignment="1">
      <alignment wrapText="1"/>
    </xf>
    <xf numFmtId="0" fontId="3" fillId="0" borderId="26" xfId="0" applyFont="1" applyBorder="1" applyAlignment="1">
      <alignment horizontal="center"/>
    </xf>
    <xf numFmtId="0" fontId="3" fillId="0" borderId="14" xfId="0" applyFont="1" applyBorder="1" applyAlignment="1">
      <alignment horizontal="center" wrapText="1"/>
    </xf>
    <xf numFmtId="0" fontId="3" fillId="0" borderId="17" xfId="0" applyFont="1" applyBorder="1" applyAlignment="1">
      <alignment horizontal="center" wrapText="1"/>
    </xf>
    <xf numFmtId="0" fontId="3" fillId="0" borderId="14" xfId="0" applyFont="1" applyBorder="1" applyAlignment="1">
      <alignment horizontal="center"/>
    </xf>
    <xf numFmtId="0" fontId="3" fillId="24" borderId="19" xfId="0" applyFont="1" applyFill="1" applyBorder="1" applyAlignment="1">
      <alignment horizontal="center"/>
    </xf>
    <xf numFmtId="0" fontId="3" fillId="0" borderId="26" xfId="0" applyFont="1" applyBorder="1" applyAlignment="1">
      <alignment/>
    </xf>
    <xf numFmtId="165" fontId="3" fillId="0" borderId="26" xfId="42" applyNumberFormat="1" applyFont="1" applyBorder="1" applyAlignment="1">
      <alignment/>
    </xf>
    <xf numFmtId="165" fontId="3" fillId="0" borderId="26" xfId="42" applyNumberFormat="1" applyFont="1" applyBorder="1" applyAlignment="1" quotePrefix="1">
      <alignment wrapText="1"/>
    </xf>
    <xf numFmtId="165" fontId="3" fillId="0" borderId="18" xfId="42" applyNumberFormat="1" applyFont="1" applyBorder="1" applyAlignment="1" quotePrefix="1">
      <alignment wrapText="1"/>
    </xf>
    <xf numFmtId="165" fontId="3" fillId="0" borderId="18" xfId="42" applyNumberFormat="1" applyFont="1" applyBorder="1" applyAlignment="1">
      <alignment wrapText="1"/>
    </xf>
    <xf numFmtId="0" fontId="3" fillId="0" borderId="19" xfId="0" applyFont="1" applyBorder="1" applyAlignment="1">
      <alignment horizontal="center"/>
    </xf>
    <xf numFmtId="0" fontId="3" fillId="0" borderId="19" xfId="0" applyFont="1" applyBorder="1" applyAlignment="1">
      <alignment horizontal="center" wrapText="1"/>
    </xf>
    <xf numFmtId="165" fontId="3" fillId="0" borderId="14" xfId="42" applyNumberFormat="1" applyFont="1" applyBorder="1" applyAlignment="1" quotePrefix="1">
      <alignment wrapText="1"/>
    </xf>
    <xf numFmtId="165" fontId="3" fillId="0" borderId="17" xfId="42" applyNumberFormat="1" applyFont="1" applyBorder="1" applyAlignment="1" quotePrefix="1">
      <alignment wrapText="1"/>
    </xf>
    <xf numFmtId="0" fontId="3" fillId="0" borderId="26" xfId="0" applyFont="1" applyBorder="1" applyAlignment="1">
      <alignment horizontal="center" wrapText="1"/>
    </xf>
    <xf numFmtId="14" fontId="3" fillId="0" borderId="14" xfId="0" applyNumberFormat="1" applyFont="1" applyFill="1" applyBorder="1" applyAlignment="1">
      <alignment horizontal="center" wrapText="1"/>
    </xf>
    <xf numFmtId="0" fontId="3" fillId="0" borderId="14" xfId="0" applyFont="1" applyBorder="1" applyAlignment="1">
      <alignment wrapText="1"/>
    </xf>
    <xf numFmtId="0" fontId="3" fillId="0" borderId="17" xfId="0" applyFont="1" applyBorder="1" applyAlignment="1">
      <alignment wrapText="1"/>
    </xf>
    <xf numFmtId="165" fontId="3" fillId="0" borderId="14" xfId="0" applyNumberFormat="1" applyFont="1" applyBorder="1" applyAlignment="1" quotePrefix="1">
      <alignment wrapText="1"/>
    </xf>
    <xf numFmtId="165" fontId="3" fillId="0" borderId="26" xfId="0" applyNumberFormat="1" applyFont="1" applyBorder="1" applyAlignment="1" quotePrefix="1">
      <alignment wrapText="1"/>
    </xf>
    <xf numFmtId="165" fontId="3" fillId="0" borderId="28" xfId="42" applyNumberFormat="1" applyFont="1" applyBorder="1" applyAlignment="1" quotePrefix="1">
      <alignment wrapText="1"/>
    </xf>
    <xf numFmtId="165" fontId="15" fillId="0" borderId="28" xfId="42" applyNumberFormat="1" applyFont="1" applyBorder="1" applyAlignment="1">
      <alignment wrapText="1"/>
    </xf>
    <xf numFmtId="165" fontId="15" fillId="0" borderId="29" xfId="42" applyNumberFormat="1" applyFont="1" applyBorder="1" applyAlignment="1">
      <alignment wrapText="1"/>
    </xf>
    <xf numFmtId="165" fontId="3" fillId="0" borderId="30" xfId="42" applyNumberFormat="1" applyFont="1" applyBorder="1" applyAlignment="1" quotePrefix="1">
      <alignment vertical="center" wrapText="1"/>
    </xf>
    <xf numFmtId="167" fontId="3" fillId="0" borderId="30" xfId="42" applyNumberFormat="1" applyFont="1" applyBorder="1" applyAlignment="1" quotePrefix="1">
      <alignment vertical="center" wrapText="1"/>
    </xf>
    <xf numFmtId="165" fontId="3" fillId="0" borderId="30" xfId="0" applyNumberFormat="1" applyFont="1" applyBorder="1" applyAlignment="1" quotePrefix="1">
      <alignment vertical="center" wrapText="1"/>
    </xf>
    <xf numFmtId="0" fontId="3" fillId="0" borderId="30" xfId="0" applyFont="1" applyBorder="1" applyAlignment="1" quotePrefix="1">
      <alignment vertical="center" wrapText="1"/>
    </xf>
    <xf numFmtId="165" fontId="15" fillId="0" borderId="28" xfId="42" applyNumberFormat="1" applyFont="1" applyBorder="1" applyAlignment="1">
      <alignment vertical="center" wrapText="1"/>
    </xf>
    <xf numFmtId="167" fontId="15" fillId="0" borderId="28" xfId="42" applyNumberFormat="1" applyFont="1" applyBorder="1" applyAlignment="1">
      <alignment vertical="center" wrapText="1"/>
    </xf>
    <xf numFmtId="166" fontId="15" fillId="0" borderId="28" xfId="42" applyNumberFormat="1" applyFont="1" applyBorder="1" applyAlignment="1">
      <alignment vertical="center" wrapText="1"/>
    </xf>
    <xf numFmtId="165" fontId="15" fillId="0" borderId="29" xfId="42" applyNumberFormat="1" applyFont="1" applyBorder="1" applyAlignment="1">
      <alignment vertical="center" wrapText="1"/>
    </xf>
    <xf numFmtId="167" fontId="15" fillId="0" borderId="29" xfId="42" applyNumberFormat="1" applyFont="1" applyBorder="1" applyAlignment="1">
      <alignment vertical="center" wrapText="1"/>
    </xf>
    <xf numFmtId="166" fontId="15" fillId="0" borderId="29" xfId="42" applyNumberFormat="1" applyFont="1" applyBorder="1" applyAlignment="1">
      <alignment vertical="center" wrapText="1"/>
    </xf>
    <xf numFmtId="165" fontId="3" fillId="0" borderId="14" xfId="42" applyNumberFormat="1" applyFont="1" applyBorder="1" applyAlignment="1">
      <alignment/>
    </xf>
    <xf numFmtId="165" fontId="3" fillId="0" borderId="18" xfId="42" applyNumberFormat="1" applyFont="1" applyBorder="1" applyAlignment="1">
      <alignment/>
    </xf>
    <xf numFmtId="165" fontId="3" fillId="0" borderId="17" xfId="42" applyNumberFormat="1" applyFont="1" applyBorder="1" applyAlignment="1">
      <alignment/>
    </xf>
    <xf numFmtId="165" fontId="3" fillId="0" borderId="30" xfId="42" applyNumberFormat="1" applyFont="1" applyBorder="1" applyAlignment="1">
      <alignment horizontal="center" vertical="center" wrapText="1"/>
    </xf>
    <xf numFmtId="165" fontId="3" fillId="0" borderId="29" xfId="42" applyNumberFormat="1" applyFont="1" applyBorder="1" applyAlignment="1">
      <alignment horizontal="center" vertical="center" wrapText="1"/>
    </xf>
    <xf numFmtId="165" fontId="3" fillId="0" borderId="31" xfId="42" applyNumberFormat="1" applyFont="1" applyBorder="1" applyAlignment="1">
      <alignment/>
    </xf>
    <xf numFmtId="165" fontId="3" fillId="0" borderId="20" xfId="42" applyNumberFormat="1" applyFont="1" applyBorder="1" applyAlignment="1">
      <alignment/>
    </xf>
    <xf numFmtId="165" fontId="3" fillId="0" borderId="32" xfId="42" applyNumberFormat="1" applyFont="1" applyBorder="1" applyAlignment="1">
      <alignment/>
    </xf>
    <xf numFmtId="165" fontId="3" fillId="0" borderId="28" xfId="42" applyNumberFormat="1" applyFont="1" applyBorder="1" applyAlignment="1">
      <alignment vertical="center" wrapText="1"/>
    </xf>
    <xf numFmtId="0" fontId="3" fillId="24" borderId="14" xfId="0" applyFont="1" applyFill="1" applyBorder="1" applyAlignment="1">
      <alignment horizontal="center" wrapText="1"/>
    </xf>
    <xf numFmtId="165" fontId="3" fillId="0" borderId="0" xfId="42" applyNumberFormat="1" applyFont="1" applyBorder="1" applyAlignment="1">
      <alignment/>
    </xf>
    <xf numFmtId="165" fontId="3" fillId="0" borderId="33" xfId="42" applyNumberFormat="1" applyFont="1" applyBorder="1" applyAlignment="1">
      <alignment/>
    </xf>
    <xf numFmtId="0" fontId="3" fillId="24" borderId="14" xfId="0" applyFont="1" applyFill="1" applyBorder="1" applyAlignment="1">
      <alignment horizontal="center"/>
    </xf>
    <xf numFmtId="165" fontId="3" fillId="0" borderId="34" xfId="42" applyNumberFormat="1" applyFont="1" applyBorder="1" applyAlignment="1">
      <alignment/>
    </xf>
    <xf numFmtId="165" fontId="3" fillId="0" borderId="15" xfId="42" applyNumberFormat="1" applyFont="1" applyBorder="1" applyAlignment="1">
      <alignment/>
    </xf>
    <xf numFmtId="165" fontId="3" fillId="0" borderId="29" xfId="42" applyNumberFormat="1" applyFont="1" applyBorder="1" applyAlignment="1">
      <alignment vertical="center" wrapText="1"/>
    </xf>
    <xf numFmtId="165" fontId="3" fillId="0" borderId="30" xfId="42" applyNumberFormat="1" applyFont="1" applyBorder="1" applyAlignment="1">
      <alignment vertical="center" wrapText="1"/>
    </xf>
    <xf numFmtId="0" fontId="5" fillId="0" borderId="0" xfId="0" applyFont="1" applyAlignment="1">
      <alignment wrapText="1"/>
    </xf>
    <xf numFmtId="165" fontId="3" fillId="0" borderId="18" xfId="42" applyNumberFormat="1" applyFont="1" applyBorder="1" applyAlignment="1">
      <alignment horizontal="center" wrapText="1"/>
    </xf>
    <xf numFmtId="165" fontId="3" fillId="0" borderId="17" xfId="42" applyNumberFormat="1" applyFont="1" applyBorder="1" applyAlignment="1">
      <alignment horizontal="center" wrapText="1"/>
    </xf>
    <xf numFmtId="165" fontId="3" fillId="0" borderId="29" xfId="42" applyNumberFormat="1" applyFont="1" applyBorder="1" applyAlignment="1">
      <alignment horizontal="center" wrapText="1"/>
    </xf>
    <xf numFmtId="165" fontId="3" fillId="0" borderId="29" xfId="42" applyNumberFormat="1" applyFont="1" applyBorder="1" applyAlignment="1">
      <alignment wrapText="1"/>
    </xf>
    <xf numFmtId="0" fontId="3" fillId="0" borderId="29" xfId="0" applyFont="1" applyBorder="1" applyAlignment="1">
      <alignment wrapText="1"/>
    </xf>
    <xf numFmtId="0" fontId="3" fillId="0" borderId="14" xfId="0" applyFont="1" applyBorder="1" applyAlignment="1">
      <alignment/>
    </xf>
    <xf numFmtId="165" fontId="3" fillId="0" borderId="31" xfId="42" applyNumberFormat="1" applyFont="1" applyBorder="1" applyAlignment="1" quotePrefix="1">
      <alignment wrapText="1"/>
    </xf>
    <xf numFmtId="165" fontId="15" fillId="0" borderId="35" xfId="42" applyNumberFormat="1" applyFont="1" applyBorder="1" applyAlignment="1">
      <alignment wrapText="1"/>
    </xf>
    <xf numFmtId="165" fontId="15" fillId="0" borderId="34" xfId="42" applyNumberFormat="1" applyFont="1" applyBorder="1" applyAlignment="1">
      <alignment wrapText="1"/>
    </xf>
    <xf numFmtId="165" fontId="3" fillId="0" borderId="20" xfId="0" applyNumberFormat="1" applyFont="1" applyBorder="1" applyAlignment="1" quotePrefix="1">
      <alignment wrapText="1"/>
    </xf>
    <xf numFmtId="166" fontId="15" fillId="0" borderId="0" xfId="42" applyNumberFormat="1" applyFont="1" applyBorder="1" applyAlignment="1">
      <alignment wrapText="1"/>
    </xf>
    <xf numFmtId="166" fontId="15" fillId="0" borderId="18" xfId="42" applyNumberFormat="1" applyFont="1" applyBorder="1" applyAlignment="1">
      <alignment wrapText="1"/>
    </xf>
    <xf numFmtId="165" fontId="3" fillId="0" borderId="27" xfId="42" applyNumberFormat="1" applyFont="1" applyBorder="1" applyAlignment="1">
      <alignment horizontal="center" wrapText="1"/>
    </xf>
    <xf numFmtId="165" fontId="3" fillId="0" borderId="26" xfId="0" applyNumberFormat="1" applyFont="1" applyBorder="1" applyAlignment="1">
      <alignment horizontal="center" wrapText="1"/>
    </xf>
    <xf numFmtId="165" fontId="3" fillId="0" borderId="34" xfId="42" applyNumberFormat="1" applyFont="1" applyBorder="1" applyAlignment="1">
      <alignment wrapText="1"/>
    </xf>
    <xf numFmtId="0" fontId="3" fillId="0" borderId="18" xfId="0" applyFont="1" applyBorder="1" applyAlignment="1">
      <alignment wrapText="1"/>
    </xf>
    <xf numFmtId="165" fontId="3" fillId="0" borderId="27" xfId="42" applyNumberFormat="1" applyFont="1" applyBorder="1" applyAlignment="1">
      <alignment wrapText="1"/>
    </xf>
    <xf numFmtId="164" fontId="3" fillId="0" borderId="14" xfId="56" applyNumberFormat="1" applyFont="1" applyBorder="1" applyAlignment="1">
      <alignment wrapText="1"/>
      <protection/>
    </xf>
    <xf numFmtId="165" fontId="3" fillId="0" borderId="27" xfId="42" applyNumberFormat="1" applyFont="1" applyBorder="1" applyAlignment="1">
      <alignment/>
    </xf>
    <xf numFmtId="164" fontId="3" fillId="0" borderId="27" xfId="56" applyNumberFormat="1" applyFont="1" applyBorder="1" applyAlignment="1">
      <alignment vertical="center" wrapText="1"/>
      <protection/>
    </xf>
    <xf numFmtId="0" fontId="3" fillId="0" borderId="26" xfId="0" applyFont="1" applyFill="1" applyBorder="1" applyAlignment="1">
      <alignment horizontal="center"/>
    </xf>
    <xf numFmtId="0" fontId="3" fillId="0" borderId="19" xfId="0" applyFont="1" applyFill="1" applyBorder="1" applyAlignment="1">
      <alignment horizontal="center"/>
    </xf>
    <xf numFmtId="0" fontId="4"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8" fillId="0" borderId="16" xfId="0" applyFont="1" applyBorder="1" applyAlignment="1">
      <alignment/>
    </xf>
    <xf numFmtId="0" fontId="2" fillId="0" borderId="16" xfId="0" applyFont="1" applyBorder="1" applyAlignment="1">
      <alignment/>
    </xf>
    <xf numFmtId="0" fontId="11" fillId="0" borderId="0" xfId="0" applyFont="1" applyAlignment="1">
      <alignment/>
    </xf>
    <xf numFmtId="166" fontId="2" fillId="0" borderId="0" xfId="42" applyNumberFormat="1" applyFont="1" applyAlignment="1">
      <alignment/>
    </xf>
    <xf numFmtId="0" fontId="8" fillId="0" borderId="0" xfId="0" applyFont="1" applyAlignment="1">
      <alignment/>
    </xf>
    <xf numFmtId="166" fontId="8" fillId="0" borderId="0" xfId="0" applyNumberFormat="1" applyFont="1" applyAlignment="1">
      <alignment/>
    </xf>
    <xf numFmtId="166" fontId="8" fillId="0" borderId="0" xfId="42" applyNumberFormat="1" applyFont="1" applyAlignment="1">
      <alignment/>
    </xf>
    <xf numFmtId="0" fontId="19" fillId="0" borderId="0" xfId="0" applyFont="1" applyAlignment="1">
      <alignment/>
    </xf>
    <xf numFmtId="0" fontId="0" fillId="0" borderId="0" xfId="0" applyFont="1" applyAlignment="1">
      <alignment/>
    </xf>
    <xf numFmtId="0" fontId="0" fillId="0" borderId="36" xfId="0" applyFont="1" applyBorder="1" applyAlignment="1">
      <alignment wrapText="1"/>
    </xf>
    <xf numFmtId="43" fontId="0" fillId="0" borderId="36" xfId="42" applyFont="1" applyBorder="1" applyAlignment="1">
      <alignment/>
    </xf>
    <xf numFmtId="166" fontId="0" fillId="0" borderId="36" xfId="42" applyNumberFormat="1" applyFont="1" applyBorder="1" applyAlignment="1">
      <alignment horizontal="right"/>
    </xf>
    <xf numFmtId="166" fontId="0" fillId="0" borderId="36" xfId="42" applyNumberFormat="1" applyFont="1" applyBorder="1" applyAlignment="1">
      <alignment/>
    </xf>
    <xf numFmtId="10" fontId="0" fillId="0" borderId="36" xfId="59" applyNumberFormat="1" applyFont="1" applyFill="1" applyBorder="1" applyAlignment="1">
      <alignment horizontal="right"/>
    </xf>
    <xf numFmtId="43" fontId="0" fillId="0" borderId="36" xfId="42" applyFont="1" applyBorder="1" applyAlignment="1">
      <alignment horizontal="right"/>
    </xf>
    <xf numFmtId="0" fontId="0" fillId="0" borderId="0" xfId="0" applyFont="1" applyBorder="1" applyAlignment="1">
      <alignment/>
    </xf>
    <xf numFmtId="0" fontId="0" fillId="0" borderId="0" xfId="0" applyFont="1" applyBorder="1" applyAlignment="1">
      <alignment wrapText="1"/>
    </xf>
    <xf numFmtId="43" fontId="0" fillId="0" borderId="0" xfId="42" applyFont="1" applyBorder="1" applyAlignment="1">
      <alignment/>
    </xf>
    <xf numFmtId="10" fontId="0" fillId="0" borderId="0" xfId="59" applyNumberFormat="1" applyFont="1" applyFill="1" applyBorder="1" applyAlignment="1">
      <alignment/>
    </xf>
    <xf numFmtId="43" fontId="0" fillId="0" borderId="0" xfId="42" applyFont="1" applyBorder="1" applyAlignment="1">
      <alignment horizontal="right"/>
    </xf>
    <xf numFmtId="166" fontId="0" fillId="0" borderId="0" xfId="42" applyNumberFormat="1" applyFont="1" applyBorder="1" applyAlignment="1">
      <alignment/>
    </xf>
    <xf numFmtId="10" fontId="0" fillId="0" borderId="0" xfId="59" applyNumberFormat="1" applyFont="1" applyFill="1" applyBorder="1" applyAlignment="1">
      <alignment horizontal="right"/>
    </xf>
    <xf numFmtId="0" fontId="0" fillId="16" borderId="0" xfId="0" applyFont="1" applyFill="1" applyAlignment="1">
      <alignment/>
    </xf>
    <xf numFmtId="0" fontId="20" fillId="16" borderId="0" xfId="0" applyFont="1" applyFill="1" applyAlignment="1">
      <alignment/>
    </xf>
    <xf numFmtId="0" fontId="1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10" fontId="0" fillId="0" borderId="0" xfId="0" applyNumberFormat="1" applyFont="1" applyAlignment="1">
      <alignment/>
    </xf>
    <xf numFmtId="0" fontId="40" fillId="0" borderId="0" xfId="0" applyFont="1" applyAlignment="1">
      <alignment/>
    </xf>
    <xf numFmtId="0" fontId="0" fillId="0" borderId="36" xfId="0" applyFont="1" applyBorder="1" applyAlignment="1">
      <alignment/>
    </xf>
    <xf numFmtId="0" fontId="0" fillId="0" borderId="36" xfId="55" applyFont="1" applyBorder="1" applyAlignment="1">
      <alignment vertical="top" wrapText="1"/>
      <protection/>
    </xf>
    <xf numFmtId="0" fontId="0" fillId="0" borderId="36" xfId="0" applyFont="1" applyBorder="1" applyAlignment="1">
      <alignment vertical="top" wrapText="1"/>
    </xf>
    <xf numFmtId="43" fontId="0" fillId="0" borderId="36" xfId="42" applyFont="1" applyBorder="1" applyAlignment="1">
      <alignment/>
    </xf>
    <xf numFmtId="43" fontId="0" fillId="0" borderId="36" xfId="42" applyFont="1" applyFill="1" applyBorder="1" applyAlignment="1">
      <alignment/>
    </xf>
    <xf numFmtId="10" fontId="0" fillId="0" borderId="36" xfId="59" applyNumberFormat="1" applyFont="1" applyFill="1" applyBorder="1" applyAlignment="1">
      <alignment/>
    </xf>
    <xf numFmtId="0" fontId="0" fillId="0" borderId="36" xfId="0" applyFont="1" applyBorder="1" applyAlignment="1">
      <alignment vertical="top"/>
    </xf>
    <xf numFmtId="0" fontId="0" fillId="0" borderId="36" xfId="0" applyFont="1" applyFill="1" applyBorder="1" applyAlignment="1">
      <alignment vertical="top" wrapText="1"/>
    </xf>
    <xf numFmtId="43" fontId="41" fillId="0" borderId="36" xfId="42" applyFont="1" applyBorder="1" applyAlignment="1">
      <alignment horizontal="right"/>
    </xf>
    <xf numFmtId="43" fontId="41" fillId="0" borderId="36" xfId="42" applyFont="1" applyBorder="1" applyAlignment="1">
      <alignment/>
    </xf>
    <xf numFmtId="10" fontId="0" fillId="0" borderId="36" xfId="59" applyNumberFormat="1" applyFont="1" applyFill="1" applyBorder="1" applyAlignment="1" quotePrefix="1">
      <alignment horizontal="right"/>
    </xf>
    <xf numFmtId="10" fontId="0" fillId="0" borderId="36" xfId="42" applyNumberFormat="1" applyFont="1" applyBorder="1" applyAlignment="1">
      <alignment/>
    </xf>
    <xf numFmtId="0" fontId="0" fillId="0" borderId="36" xfId="55" applyFont="1" applyBorder="1" applyAlignment="1">
      <alignment vertical="top"/>
      <protection/>
    </xf>
    <xf numFmtId="43" fontId="0" fillId="0" borderId="36" xfId="42" applyFont="1" applyFill="1" applyBorder="1" applyAlignment="1">
      <alignment horizontal="right"/>
    </xf>
    <xf numFmtId="0" fontId="0" fillId="0" borderId="36" xfId="0" applyFont="1" applyFill="1" applyBorder="1" applyAlignment="1">
      <alignment wrapText="1"/>
    </xf>
    <xf numFmtId="0" fontId="0" fillId="0" borderId="36" xfId="0" applyFont="1" applyFill="1" applyBorder="1" applyAlignment="1">
      <alignment vertical="top"/>
    </xf>
    <xf numFmtId="0" fontId="0" fillId="0" borderId="36" xfId="55" applyFont="1" applyBorder="1" applyAlignment="1">
      <alignment/>
      <protection/>
    </xf>
    <xf numFmtId="0" fontId="0" fillId="0" borderId="36" xfId="55" applyFont="1" applyBorder="1">
      <alignment/>
      <protection/>
    </xf>
    <xf numFmtId="0" fontId="42" fillId="0" borderId="0" xfId="0" applyFont="1" applyFill="1" applyAlignment="1">
      <alignment/>
    </xf>
    <xf numFmtId="0" fontId="0" fillId="0" borderId="37" xfId="0" applyFont="1" applyBorder="1" applyAlignment="1">
      <alignment/>
    </xf>
    <xf numFmtId="0" fontId="0" fillId="0" borderId="37" xfId="55" applyFont="1" applyBorder="1" applyAlignment="1">
      <alignment/>
      <protection/>
    </xf>
    <xf numFmtId="0" fontId="0" fillId="0" borderId="37" xfId="55" applyFont="1" applyBorder="1">
      <alignment/>
      <protection/>
    </xf>
    <xf numFmtId="14" fontId="18" fillId="25" borderId="36" xfId="0" applyNumberFormat="1" applyFont="1" applyFill="1" applyBorder="1" applyAlignment="1">
      <alignment horizontal="center" vertical="center" wrapText="1"/>
    </xf>
    <xf numFmtId="14" fontId="18" fillId="16" borderId="36" xfId="0" applyNumberFormat="1" applyFont="1" applyFill="1" applyBorder="1" applyAlignment="1">
      <alignment horizontal="centerContinuous" vertical="center" wrapText="1"/>
    </xf>
    <xf numFmtId="14" fontId="18" fillId="26" borderId="36" xfId="0" applyNumberFormat="1" applyFont="1" applyFill="1" applyBorder="1" applyAlignment="1">
      <alignment horizontal="centerContinuous" vertical="center" wrapText="1"/>
    </xf>
    <xf numFmtId="14" fontId="18" fillId="16" borderId="36" xfId="0" applyNumberFormat="1" applyFont="1" applyFill="1" applyBorder="1" applyAlignment="1">
      <alignment horizontal="center" vertical="center" wrapText="1"/>
    </xf>
    <xf numFmtId="14" fontId="18" fillId="26" borderId="36" xfId="0" applyNumberFormat="1" applyFont="1" applyFill="1" applyBorder="1" applyAlignment="1">
      <alignment horizontal="center" vertical="center" wrapText="1"/>
    </xf>
    <xf numFmtId="0" fontId="0" fillId="16" borderId="36" xfId="0" applyFont="1" applyFill="1" applyBorder="1" applyAlignment="1">
      <alignment/>
    </xf>
    <xf numFmtId="0" fontId="37" fillId="16" borderId="36" xfId="0" applyFont="1" applyFill="1" applyBorder="1" applyAlignment="1">
      <alignment/>
    </xf>
    <xf numFmtId="0" fontId="9" fillId="0" borderId="0" xfId="56" applyFont="1" applyAlignment="1">
      <alignment horizontal="center"/>
      <protection/>
    </xf>
    <xf numFmtId="0" fontId="2" fillId="0" borderId="0" xfId="56" applyFont="1" applyAlignment="1" quotePrefix="1">
      <alignment wrapText="1"/>
      <protection/>
    </xf>
    <xf numFmtId="0" fontId="0" fillId="0" borderId="0" xfId="0" applyAlignment="1">
      <alignment/>
    </xf>
    <xf numFmtId="0" fontId="0" fillId="0" borderId="0" xfId="0" applyFont="1" applyAlignment="1">
      <alignment/>
    </xf>
    <xf numFmtId="0" fontId="0" fillId="0" borderId="0" xfId="0" applyFont="1" applyFill="1" applyBorder="1" applyAlignment="1" quotePrefix="1">
      <alignment horizontal="left" wrapText="1"/>
    </xf>
    <xf numFmtId="0" fontId="17" fillId="0" borderId="0" xfId="56" applyFont="1" applyAlignment="1">
      <alignment horizontal="center"/>
      <protection/>
    </xf>
    <xf numFmtId="0" fontId="3" fillId="0" borderId="32" xfId="0" applyFont="1" applyBorder="1" applyAlignment="1" quotePrefix="1">
      <alignment wrapText="1"/>
    </xf>
    <xf numFmtId="0" fontId="15" fillId="0" borderId="33" xfId="0" applyFont="1" applyBorder="1" applyAlignment="1">
      <alignment wrapText="1"/>
    </xf>
    <xf numFmtId="0" fontId="15" fillId="0" borderId="15" xfId="0" applyFont="1" applyBorder="1" applyAlignment="1">
      <alignment wrapText="1"/>
    </xf>
    <xf numFmtId="0" fontId="3" fillId="24" borderId="32" xfId="0" applyFont="1" applyFill="1" applyBorder="1" applyAlignment="1">
      <alignment horizontal="center" vertical="center" wrapText="1"/>
    </xf>
    <xf numFmtId="0" fontId="3" fillId="24" borderId="15" xfId="0" applyFont="1" applyFill="1" applyBorder="1" applyAlignment="1">
      <alignment horizontal="center" vertical="center" wrapText="1"/>
    </xf>
    <xf numFmtId="0" fontId="3" fillId="0" borderId="32" xfId="0" applyFont="1" applyBorder="1" applyAlignment="1">
      <alignment horizontal="center" vertical="center" wrapText="1"/>
    </xf>
    <xf numFmtId="0" fontId="3" fillId="0" borderId="15" xfId="0" applyFont="1" applyBorder="1" applyAlignment="1">
      <alignment horizontal="center" vertical="center" wrapText="1"/>
    </xf>
    <xf numFmtId="0" fontId="0" fillId="0" borderId="15" xfId="0" applyBorder="1" applyAlignment="1">
      <alignment horizontal="center" vertical="center" wrapText="1"/>
    </xf>
    <xf numFmtId="0" fontId="3" fillId="24" borderId="38" xfId="0" applyFont="1" applyFill="1" applyBorder="1" applyAlignment="1">
      <alignment horizontal="center" vertical="center" wrapText="1"/>
    </xf>
    <xf numFmtId="0" fontId="15" fillId="0" borderId="39" xfId="0" applyFont="1" applyBorder="1" applyAlignment="1">
      <alignment/>
    </xf>
    <xf numFmtId="0" fontId="15" fillId="0" borderId="40" xfId="0" applyFont="1" applyBorder="1" applyAlignment="1">
      <alignment/>
    </xf>
    <xf numFmtId="0" fontId="3" fillId="0" borderId="32" xfId="0" applyFont="1" applyBorder="1" applyAlignment="1">
      <alignment wrapText="1"/>
    </xf>
    <xf numFmtId="0" fontId="3" fillId="0" borderId="33" xfId="0" applyFont="1" applyBorder="1" applyAlignment="1">
      <alignment wrapText="1"/>
    </xf>
    <xf numFmtId="0" fontId="3" fillId="0" borderId="15" xfId="0" applyFont="1" applyBorder="1" applyAlignment="1">
      <alignment wrapText="1"/>
    </xf>
    <xf numFmtId="0" fontId="3" fillId="0" borderId="32" xfId="0" applyFont="1" applyBorder="1" applyAlignment="1">
      <alignment horizontal="center" wrapText="1"/>
    </xf>
    <xf numFmtId="0" fontId="0" fillId="0" borderId="33" xfId="0" applyBorder="1" applyAlignment="1">
      <alignment horizontal="center" wrapText="1"/>
    </xf>
    <xf numFmtId="0" fontId="0" fillId="0" borderId="15" xfId="0" applyBorder="1" applyAlignment="1">
      <alignment horizontal="center" wrapText="1"/>
    </xf>
    <xf numFmtId="0" fontId="3" fillId="24" borderId="41" xfId="0" applyFont="1" applyFill="1" applyBorder="1" applyAlignment="1">
      <alignment horizontal="center" vertical="center" wrapText="1"/>
    </xf>
    <xf numFmtId="0" fontId="15" fillId="24" borderId="42" xfId="0" applyFont="1" applyFill="1" applyBorder="1" applyAlignment="1">
      <alignment horizontal="center" vertical="center"/>
    </xf>
    <xf numFmtId="0" fontId="15" fillId="24" borderId="43" xfId="0" applyFont="1" applyFill="1" applyBorder="1" applyAlignment="1">
      <alignment horizontal="center" vertical="center"/>
    </xf>
    <xf numFmtId="0" fontId="3" fillId="0" borderId="33"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46"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Updated Spin-Out Summary"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7"/>
  <sheetViews>
    <sheetView view="pageBreakPreview" zoomScale="75" zoomScaleSheetLayoutView="75" zoomScalePageLayoutView="0" workbookViewId="0" topLeftCell="A1">
      <selection activeCell="A1" sqref="A1"/>
    </sheetView>
  </sheetViews>
  <sheetFormatPr defaultColWidth="9.140625" defaultRowHeight="12.75"/>
  <cols>
    <col min="1" max="1" width="26.7109375" style="1" customWidth="1"/>
    <col min="2" max="4" width="20.7109375" style="1" customWidth="1"/>
    <col min="5" max="5" width="30.7109375" style="1" customWidth="1"/>
    <col min="6" max="8" width="25.7109375" style="1" customWidth="1"/>
    <col min="9" max="16384" width="9.140625" style="1" customWidth="1"/>
  </cols>
  <sheetData>
    <row r="1" s="2" customFormat="1" ht="19.5">
      <c r="A1" s="3" t="s">
        <v>39</v>
      </c>
    </row>
    <row r="2" s="2" customFormat="1" ht="19.5">
      <c r="A2" s="3" t="s">
        <v>49</v>
      </c>
    </row>
    <row r="3" s="2" customFormat="1" ht="19.5">
      <c r="A3" s="3"/>
    </row>
    <row r="4" s="2" customFormat="1" ht="18"/>
    <row r="5" spans="1:8" s="2" customFormat="1" ht="36">
      <c r="A5" s="4" t="s">
        <v>166</v>
      </c>
      <c r="B5" s="5" t="s">
        <v>42</v>
      </c>
      <c r="C5" s="5" t="s">
        <v>45</v>
      </c>
      <c r="D5" s="5" t="s">
        <v>43</v>
      </c>
      <c r="E5" s="43" t="s">
        <v>200</v>
      </c>
      <c r="F5" s="5" t="s">
        <v>46</v>
      </c>
      <c r="G5" s="5" t="s">
        <v>44</v>
      </c>
      <c r="H5" s="5" t="s">
        <v>172</v>
      </c>
    </row>
    <row r="7" spans="1:8" s="2" customFormat="1" ht="30" customHeight="1">
      <c r="A7" s="10" t="s">
        <v>214</v>
      </c>
      <c r="B7" s="13" t="s">
        <v>190</v>
      </c>
      <c r="C7" s="16" t="s">
        <v>190</v>
      </c>
      <c r="D7" s="16" t="s">
        <v>190</v>
      </c>
      <c r="E7" s="16" t="s">
        <v>190</v>
      </c>
      <c r="F7" s="16" t="s">
        <v>190</v>
      </c>
      <c r="G7" s="13" t="s">
        <v>195</v>
      </c>
      <c r="H7" s="7" t="s">
        <v>173</v>
      </c>
    </row>
    <row r="8" spans="1:8" s="2" customFormat="1" ht="75.75">
      <c r="A8" s="6" t="s">
        <v>165</v>
      </c>
      <c r="B8" s="11" t="s">
        <v>48</v>
      </c>
      <c r="C8" s="16" t="s">
        <v>206</v>
      </c>
      <c r="D8" s="16" t="s">
        <v>206</v>
      </c>
      <c r="E8" s="42" t="s">
        <v>176</v>
      </c>
      <c r="F8" s="15"/>
      <c r="G8" s="13" t="s">
        <v>207</v>
      </c>
      <c r="H8" s="7" t="s">
        <v>174</v>
      </c>
    </row>
    <row r="9" spans="1:8" s="2" customFormat="1" ht="60.75">
      <c r="A9" s="10" t="s">
        <v>170</v>
      </c>
      <c r="B9" s="41" t="s">
        <v>167</v>
      </c>
      <c r="C9" s="16" t="s">
        <v>206</v>
      </c>
      <c r="D9" s="16" t="s">
        <v>206</v>
      </c>
      <c r="E9" s="42" t="s">
        <v>196</v>
      </c>
      <c r="F9" s="15"/>
      <c r="G9" s="11" t="s">
        <v>47</v>
      </c>
      <c r="H9" s="57" t="s">
        <v>47</v>
      </c>
    </row>
    <row r="10" spans="1:8" s="2" customFormat="1" ht="34.5" customHeight="1">
      <c r="A10" s="10" t="s">
        <v>168</v>
      </c>
      <c r="B10" s="12" t="s">
        <v>169</v>
      </c>
      <c r="C10" s="16" t="s">
        <v>206</v>
      </c>
      <c r="D10" s="16" t="s">
        <v>206</v>
      </c>
      <c r="E10" s="42" t="s">
        <v>171</v>
      </c>
      <c r="F10" s="15"/>
      <c r="G10" s="11" t="s">
        <v>47</v>
      </c>
      <c r="H10" s="57" t="s">
        <v>47</v>
      </c>
    </row>
    <row r="11" spans="1:8" s="2" customFormat="1" ht="34.5" customHeight="1">
      <c r="A11" s="8" t="s">
        <v>180</v>
      </c>
      <c r="B11" s="14" t="s">
        <v>190</v>
      </c>
      <c r="C11" s="40" t="s">
        <v>190</v>
      </c>
      <c r="D11" s="40" t="s">
        <v>190</v>
      </c>
      <c r="E11" s="40" t="s">
        <v>190</v>
      </c>
      <c r="F11" s="40" t="s">
        <v>190</v>
      </c>
      <c r="G11" s="40" t="s">
        <v>191</v>
      </c>
      <c r="H11" s="9" t="s">
        <v>208</v>
      </c>
    </row>
    <row r="12" spans="1:8" s="2" customFormat="1" ht="34.5" customHeight="1">
      <c r="A12" s="8" t="s">
        <v>181</v>
      </c>
      <c r="B12" s="14" t="s">
        <v>190</v>
      </c>
      <c r="C12" s="40" t="s">
        <v>190</v>
      </c>
      <c r="D12" s="40" t="s">
        <v>197</v>
      </c>
      <c r="E12" s="40" t="s">
        <v>190</v>
      </c>
      <c r="F12" s="40" t="s">
        <v>190</v>
      </c>
      <c r="G12" s="40" t="s">
        <v>192</v>
      </c>
      <c r="H12" s="9" t="s">
        <v>208</v>
      </c>
    </row>
    <row r="13" spans="1:8" s="2" customFormat="1" ht="34.5" customHeight="1">
      <c r="A13" s="8" t="s">
        <v>182</v>
      </c>
      <c r="B13" s="14" t="s">
        <v>190</v>
      </c>
      <c r="C13" s="40" t="s">
        <v>190</v>
      </c>
      <c r="D13" s="40" t="s">
        <v>190</v>
      </c>
      <c r="E13" s="40" t="s">
        <v>190</v>
      </c>
      <c r="F13" s="40" t="s">
        <v>190</v>
      </c>
      <c r="G13" s="11" t="s">
        <v>47</v>
      </c>
      <c r="H13" s="9" t="s">
        <v>190</v>
      </c>
    </row>
    <row r="14" spans="1:8" s="2" customFormat="1" ht="34.5" customHeight="1">
      <c r="A14" s="8" t="s">
        <v>183</v>
      </c>
      <c r="B14" s="14" t="s">
        <v>190</v>
      </c>
      <c r="C14" s="40" t="s">
        <v>190</v>
      </c>
      <c r="D14" s="40" t="s">
        <v>190</v>
      </c>
      <c r="E14" s="40" t="s">
        <v>190</v>
      </c>
      <c r="F14" s="40" t="s">
        <v>190</v>
      </c>
      <c r="G14" s="11" t="s">
        <v>47</v>
      </c>
      <c r="H14" s="9" t="s">
        <v>190</v>
      </c>
    </row>
    <row r="15" spans="1:8" s="2" customFormat="1" ht="30" customHeight="1">
      <c r="A15" s="8" t="s">
        <v>184</v>
      </c>
      <c r="B15" s="14" t="s">
        <v>190</v>
      </c>
      <c r="C15" s="40" t="s">
        <v>190</v>
      </c>
      <c r="D15" s="40" t="s">
        <v>197</v>
      </c>
      <c r="E15" s="40" t="s">
        <v>190</v>
      </c>
      <c r="F15" s="40" t="s">
        <v>190</v>
      </c>
      <c r="G15" s="14" t="s">
        <v>193</v>
      </c>
      <c r="H15" s="9" t="s">
        <v>190</v>
      </c>
    </row>
    <row r="17" spans="1:8" s="2" customFormat="1" ht="30" customHeight="1">
      <c r="A17" s="8" t="s">
        <v>198</v>
      </c>
      <c r="B17" s="14" t="s">
        <v>190</v>
      </c>
      <c r="C17" s="14" t="s">
        <v>199</v>
      </c>
      <c r="D17" s="40" t="s">
        <v>190</v>
      </c>
      <c r="E17" s="40" t="s">
        <v>190</v>
      </c>
      <c r="F17" s="40" t="s">
        <v>190</v>
      </c>
      <c r="G17" s="14" t="s">
        <v>195</v>
      </c>
      <c r="H17" s="9" t="s">
        <v>173</v>
      </c>
    </row>
  </sheetData>
  <sheetProtection/>
  <printOptions/>
  <pageMargins left="0.24" right="0.17" top="0.6" bottom="0.4" header="0.5" footer="0.3"/>
  <pageSetup horizontalDpi="600" verticalDpi="600" orientation="landscape" scale="64" r:id="rId1"/>
</worksheet>
</file>

<file path=xl/worksheets/sheet10.xml><?xml version="1.0" encoding="utf-8"?>
<worksheet xmlns="http://schemas.openxmlformats.org/spreadsheetml/2006/main" xmlns:r="http://schemas.openxmlformats.org/officeDocument/2006/relationships">
  <sheetPr>
    <pageSetUpPr fitToPage="1"/>
  </sheetPr>
  <dimension ref="A1:T10"/>
  <sheetViews>
    <sheetView view="pageBreakPreview" zoomScale="60" zoomScalePageLayoutView="0" workbookViewId="0" topLeftCell="F1">
      <selection activeCell="P30" sqref="P30"/>
    </sheetView>
  </sheetViews>
  <sheetFormatPr defaultColWidth="9.140625" defaultRowHeight="12.75" outlineLevelCol="1"/>
  <cols>
    <col min="1" max="1" width="30.421875" style="1" customWidth="1"/>
    <col min="2" max="2" width="24.7109375" style="1" customWidth="1"/>
    <col min="3" max="3" width="20.7109375" style="1" hidden="1" customWidth="1" outlineLevel="1"/>
    <col min="4" max="4" width="2.7109375" style="1" hidden="1" customWidth="1" outlineLevel="1"/>
    <col min="5" max="5" width="20.7109375" style="1" hidden="1" customWidth="1" outlineLevel="1"/>
    <col min="6" max="6" width="14.7109375" style="1" customWidth="1" collapsed="1"/>
    <col min="7" max="7" width="2.7109375" style="1" customWidth="1"/>
    <col min="8" max="9" width="14.7109375" style="1" customWidth="1"/>
    <col min="10" max="10" width="2.7109375" style="1" customWidth="1"/>
    <col min="11" max="11" width="14.7109375" style="1" customWidth="1"/>
    <col min="12" max="12" width="12.7109375" style="1" customWidth="1"/>
    <col min="13" max="13" width="19.28125" style="1" customWidth="1"/>
    <col min="14" max="17" width="20.7109375" style="1" customWidth="1"/>
    <col min="18" max="18" width="20.7109375" style="1" hidden="1" customWidth="1"/>
    <col min="19" max="20" width="20.7109375" style="1" customWidth="1"/>
    <col min="21" max="16384" width="9.140625" style="1" customWidth="1"/>
  </cols>
  <sheetData>
    <row r="1" spans="1:11" s="2" customFormat="1" ht="19.5">
      <c r="A1" s="3" t="s">
        <v>246</v>
      </c>
      <c r="B1" s="3"/>
      <c r="C1" s="3"/>
      <c r="D1" s="3"/>
      <c r="E1" s="3"/>
      <c r="F1" s="3"/>
      <c r="G1" s="3"/>
      <c r="H1" s="3"/>
      <c r="I1" s="3"/>
      <c r="J1" s="3"/>
      <c r="K1" s="3"/>
    </row>
    <row r="2" spans="1:11" s="2" customFormat="1" ht="19.5">
      <c r="A2" s="3" t="s">
        <v>17</v>
      </c>
      <c r="B2" s="3"/>
      <c r="C2" s="3"/>
      <c r="D2" s="3"/>
      <c r="E2" s="3"/>
      <c r="F2" s="3"/>
      <c r="G2" s="3"/>
      <c r="H2" s="3"/>
      <c r="I2" s="3"/>
      <c r="J2" s="3"/>
      <c r="K2" s="3"/>
    </row>
    <row r="3" spans="1:11" s="2" customFormat="1" ht="19.5">
      <c r="A3" s="3"/>
      <c r="B3" s="3"/>
      <c r="C3" s="3"/>
      <c r="D3" s="3"/>
      <c r="E3" s="3"/>
      <c r="F3" s="3"/>
      <c r="G3" s="3"/>
      <c r="H3" s="3"/>
      <c r="I3" s="3"/>
      <c r="J3" s="3"/>
      <c r="K3" s="3"/>
    </row>
    <row r="4" spans="3:11" s="2" customFormat="1" ht="18">
      <c r="C4" s="282" t="s">
        <v>210</v>
      </c>
      <c r="D4" s="282"/>
      <c r="E4" s="282"/>
      <c r="F4" s="287" t="s">
        <v>16</v>
      </c>
      <c r="G4" s="287"/>
      <c r="H4" s="287"/>
      <c r="I4" s="287" t="s">
        <v>250</v>
      </c>
      <c r="J4" s="287"/>
      <c r="K4" s="287"/>
    </row>
    <row r="5" spans="1:20" s="2" customFormat="1" ht="107.25" customHeight="1">
      <c r="A5" s="197" t="s">
        <v>135</v>
      </c>
      <c r="B5" s="72" t="s">
        <v>209</v>
      </c>
      <c r="C5" s="5" t="s">
        <v>164</v>
      </c>
      <c r="D5" s="5"/>
      <c r="E5" s="5" t="s">
        <v>249</v>
      </c>
      <c r="F5" s="5" t="s">
        <v>164</v>
      </c>
      <c r="G5" s="5"/>
      <c r="H5" s="5" t="s">
        <v>249</v>
      </c>
      <c r="I5" s="5" t="s">
        <v>164</v>
      </c>
      <c r="J5" s="5"/>
      <c r="K5" s="5" t="s">
        <v>249</v>
      </c>
      <c r="L5" s="5" t="s">
        <v>51</v>
      </c>
      <c r="M5" s="5" t="s">
        <v>296</v>
      </c>
      <c r="N5" s="5" t="s">
        <v>298</v>
      </c>
      <c r="O5" s="5" t="s">
        <v>43</v>
      </c>
      <c r="P5" s="43" t="s">
        <v>200</v>
      </c>
      <c r="Q5" s="5" t="s">
        <v>46</v>
      </c>
      <c r="R5" s="5" t="s">
        <v>44</v>
      </c>
      <c r="S5" s="5" t="s">
        <v>172</v>
      </c>
      <c r="T5" s="5" t="s">
        <v>225</v>
      </c>
    </row>
    <row r="6" spans="6:8" ht="15">
      <c r="F6" s="135"/>
      <c r="G6" s="135"/>
      <c r="H6" s="135"/>
    </row>
    <row r="7" spans="1:20" s="2" customFormat="1" ht="24.75" customHeight="1">
      <c r="A7" s="137" t="s">
        <v>233</v>
      </c>
      <c r="B7" s="203"/>
      <c r="C7" s="180">
        <v>2.489</v>
      </c>
      <c r="D7" s="153"/>
      <c r="E7" s="182">
        <v>2.489</v>
      </c>
      <c r="F7" s="180">
        <v>0</v>
      </c>
      <c r="G7" s="181"/>
      <c r="H7" s="182">
        <v>0</v>
      </c>
      <c r="I7" s="180">
        <f>F7-C7</f>
        <v>-2.489</v>
      </c>
      <c r="J7" s="152"/>
      <c r="K7" s="153">
        <f>H7-E7</f>
        <v>-2.489</v>
      </c>
      <c r="L7" s="148" t="s">
        <v>161</v>
      </c>
      <c r="M7" s="148"/>
      <c r="N7" s="150"/>
      <c r="O7" s="150"/>
      <c r="P7" s="150"/>
      <c r="Q7" s="150"/>
      <c r="R7" s="148">
        <v>2.5</v>
      </c>
      <c r="S7" s="147"/>
      <c r="T7" s="157"/>
    </row>
    <row r="8" spans="1:20" s="2" customFormat="1" ht="24.75" customHeight="1">
      <c r="A8" s="137" t="s">
        <v>234</v>
      </c>
      <c r="B8" s="203"/>
      <c r="C8" s="180">
        <v>7.831</v>
      </c>
      <c r="D8" s="153"/>
      <c r="E8" s="182">
        <v>6.786</v>
      </c>
      <c r="F8" s="180">
        <v>0.323604</v>
      </c>
      <c r="G8" s="153"/>
      <c r="H8" s="182">
        <v>0</v>
      </c>
      <c r="I8" s="180">
        <f aca="true" t="shared" si="0" ref="I8:K10">F8-C8</f>
        <v>-7.507396</v>
      </c>
      <c r="J8" s="152"/>
      <c r="K8" s="153">
        <f t="shared" si="0"/>
        <v>-6.786</v>
      </c>
      <c r="L8" s="150" t="s">
        <v>161</v>
      </c>
      <c r="M8" s="150"/>
      <c r="N8" s="150"/>
      <c r="O8" s="150"/>
      <c r="P8" s="149"/>
      <c r="Q8" s="163"/>
      <c r="R8" s="148">
        <v>0</v>
      </c>
      <c r="S8" s="147"/>
      <c r="T8" s="157"/>
    </row>
    <row r="9" spans="1:20" s="2" customFormat="1" ht="24.75" customHeight="1">
      <c r="A9" s="137" t="s">
        <v>235</v>
      </c>
      <c r="B9" s="203"/>
      <c r="C9" s="180">
        <v>10.634</v>
      </c>
      <c r="D9" s="153"/>
      <c r="E9" s="182">
        <v>10.634</v>
      </c>
      <c r="F9" s="180">
        <v>0</v>
      </c>
      <c r="G9" s="153"/>
      <c r="H9" s="182">
        <v>4.927</v>
      </c>
      <c r="I9" s="180">
        <f t="shared" si="0"/>
        <v>-10.634</v>
      </c>
      <c r="J9" s="152"/>
      <c r="K9" s="153">
        <f t="shared" si="0"/>
        <v>-5.707000000000001</v>
      </c>
      <c r="L9" s="150" t="s">
        <v>161</v>
      </c>
      <c r="M9" s="150"/>
      <c r="N9" s="150"/>
      <c r="O9" s="150"/>
      <c r="P9" s="149"/>
      <c r="Q9" s="163"/>
      <c r="R9" s="148">
        <v>10.6</v>
      </c>
      <c r="S9" s="147"/>
      <c r="T9" s="157"/>
    </row>
    <row r="10" spans="1:20" s="2" customFormat="1" ht="24.75" customHeight="1">
      <c r="A10" s="137" t="s">
        <v>236</v>
      </c>
      <c r="B10" s="203"/>
      <c r="C10" s="180">
        <v>27.834</v>
      </c>
      <c r="D10" s="153"/>
      <c r="E10" s="182">
        <v>27.825</v>
      </c>
      <c r="F10" s="180">
        <v>0</v>
      </c>
      <c r="G10" s="153"/>
      <c r="H10" s="182">
        <v>5.034</v>
      </c>
      <c r="I10" s="180">
        <f t="shared" si="0"/>
        <v>-27.834</v>
      </c>
      <c r="J10" s="152"/>
      <c r="K10" s="153">
        <f t="shared" si="0"/>
        <v>-22.791</v>
      </c>
      <c r="L10" s="150" t="s">
        <v>161</v>
      </c>
      <c r="M10" s="150"/>
      <c r="N10" s="150"/>
      <c r="O10" s="150"/>
      <c r="P10" s="149"/>
      <c r="Q10" s="163"/>
      <c r="R10" s="148">
        <v>26.9</v>
      </c>
      <c r="S10" s="147"/>
      <c r="T10" s="157"/>
    </row>
  </sheetData>
  <sheetProtection/>
  <mergeCells count="3">
    <mergeCell ref="C4:E4"/>
    <mergeCell ref="F4:H4"/>
    <mergeCell ref="I4:K4"/>
  </mergeCells>
  <printOptions/>
  <pageMargins left="0" right="0" top="0.6" bottom="0.4" header="0.5" footer="0.3"/>
  <pageSetup fitToHeight="1" fitToWidth="1" horizontalDpi="600" verticalDpi="600" orientation="landscape" scale="49" r:id="rId1"/>
</worksheet>
</file>

<file path=xl/worksheets/sheet11.xml><?xml version="1.0" encoding="utf-8"?>
<worksheet xmlns="http://schemas.openxmlformats.org/spreadsheetml/2006/main" xmlns:r="http://schemas.openxmlformats.org/officeDocument/2006/relationships">
  <sheetPr>
    <pageSetUpPr fitToPage="1"/>
  </sheetPr>
  <dimension ref="A1:U9"/>
  <sheetViews>
    <sheetView view="pageBreakPreview" zoomScale="60" zoomScalePageLayoutView="0" workbookViewId="0" topLeftCell="A1">
      <selection activeCell="A7" sqref="A7:IV9"/>
    </sheetView>
  </sheetViews>
  <sheetFormatPr defaultColWidth="9.140625" defaultRowHeight="12.75" outlineLevelCol="1"/>
  <cols>
    <col min="1" max="2" width="33.7109375" style="1" customWidth="1"/>
    <col min="3" max="3" width="20.7109375" style="1" hidden="1" customWidth="1" outlineLevel="1"/>
    <col min="4" max="4" width="2.7109375" style="1" hidden="1" customWidth="1" outlineLevel="1"/>
    <col min="5" max="5" width="20.7109375" style="1" hidden="1" customWidth="1" outlineLevel="1"/>
    <col min="6" max="6" width="14.7109375" style="1" customWidth="1" collapsed="1"/>
    <col min="7" max="7" width="2.7109375" style="1" customWidth="1"/>
    <col min="8" max="9" width="14.7109375" style="1" customWidth="1"/>
    <col min="10" max="10" width="2.7109375" style="1" customWidth="1"/>
    <col min="11" max="11" width="14.7109375" style="1" customWidth="1"/>
    <col min="12" max="12" width="12.7109375" style="1" customWidth="1"/>
    <col min="13" max="13" width="19.28125" style="1" customWidth="1"/>
    <col min="14" max="17" width="20.7109375" style="1" customWidth="1"/>
    <col min="18" max="18" width="20.7109375" style="1" hidden="1" customWidth="1"/>
    <col min="19" max="20" width="20.7109375" style="1" customWidth="1"/>
    <col min="21" max="16384" width="9.140625" style="1" customWidth="1"/>
  </cols>
  <sheetData>
    <row r="1" spans="1:11" s="2" customFormat="1" ht="19.5">
      <c r="A1" s="3" t="s">
        <v>245</v>
      </c>
      <c r="B1" s="3"/>
      <c r="C1" s="3"/>
      <c r="D1" s="3"/>
      <c r="E1" s="3"/>
      <c r="F1" s="3"/>
      <c r="G1" s="3"/>
      <c r="H1" s="3"/>
      <c r="I1" s="3"/>
      <c r="J1" s="3"/>
      <c r="K1" s="3"/>
    </row>
    <row r="2" spans="1:11" s="2" customFormat="1" ht="19.5">
      <c r="A2" s="3" t="s">
        <v>17</v>
      </c>
      <c r="B2" s="3"/>
      <c r="C2" s="3"/>
      <c r="D2" s="3"/>
      <c r="E2" s="3"/>
      <c r="F2" s="3"/>
      <c r="G2" s="3"/>
      <c r="H2" s="3"/>
      <c r="I2" s="3"/>
      <c r="J2" s="3"/>
      <c r="K2" s="3"/>
    </row>
    <row r="3" spans="1:11" s="2" customFormat="1" ht="19.5">
      <c r="A3" s="3"/>
      <c r="B3" s="3"/>
      <c r="C3" s="3"/>
      <c r="D3" s="3"/>
      <c r="E3" s="3"/>
      <c r="F3" s="3"/>
      <c r="G3" s="3"/>
      <c r="H3" s="3"/>
      <c r="I3" s="3"/>
      <c r="J3" s="3"/>
      <c r="K3" s="3"/>
    </row>
    <row r="4" spans="3:11" s="2" customFormat="1" ht="18">
      <c r="C4" s="282" t="s">
        <v>210</v>
      </c>
      <c r="D4" s="282"/>
      <c r="E4" s="282"/>
      <c r="F4" s="287" t="s">
        <v>16</v>
      </c>
      <c r="G4" s="287"/>
      <c r="H4" s="287"/>
      <c r="I4" s="287" t="s">
        <v>250</v>
      </c>
      <c r="J4" s="287"/>
      <c r="K4" s="287"/>
    </row>
    <row r="5" spans="1:21" s="2" customFormat="1" ht="110.25" customHeight="1">
      <c r="A5" s="197" t="s">
        <v>142</v>
      </c>
      <c r="B5" s="72" t="s">
        <v>209</v>
      </c>
      <c r="C5" s="5" t="s">
        <v>164</v>
      </c>
      <c r="D5" s="5"/>
      <c r="E5" s="5" t="s">
        <v>249</v>
      </c>
      <c r="F5" s="5" t="s">
        <v>164</v>
      </c>
      <c r="G5" s="5"/>
      <c r="H5" s="5" t="s">
        <v>249</v>
      </c>
      <c r="I5" s="5" t="s">
        <v>164</v>
      </c>
      <c r="J5" s="5"/>
      <c r="K5" s="5" t="s">
        <v>249</v>
      </c>
      <c r="L5" s="5" t="s">
        <v>51</v>
      </c>
      <c r="M5" s="5" t="s">
        <v>296</v>
      </c>
      <c r="N5" s="5" t="s">
        <v>298</v>
      </c>
      <c r="O5" s="5" t="s">
        <v>43</v>
      </c>
      <c r="P5" s="43" t="s">
        <v>200</v>
      </c>
      <c r="Q5" s="5" t="s">
        <v>46</v>
      </c>
      <c r="R5" s="5" t="s">
        <v>44</v>
      </c>
      <c r="S5" s="5" t="s">
        <v>172</v>
      </c>
      <c r="T5" s="5" t="s">
        <v>225</v>
      </c>
      <c r="U5" s="134" t="s">
        <v>291</v>
      </c>
    </row>
    <row r="6" spans="6:8" ht="15">
      <c r="F6" s="135"/>
      <c r="G6" s="135"/>
      <c r="H6" s="135"/>
    </row>
    <row r="7" spans="1:21" s="2" customFormat="1" ht="36">
      <c r="A7" s="137" t="s">
        <v>237</v>
      </c>
      <c r="B7" s="299" t="s">
        <v>271</v>
      </c>
      <c r="C7" s="185">
        <v>1562.435</v>
      </c>
      <c r="D7" s="186"/>
      <c r="E7" s="187">
        <v>6.491</v>
      </c>
      <c r="F7" s="145">
        <v>1542.82</v>
      </c>
      <c r="G7" s="214"/>
      <c r="H7" s="146">
        <v>4.186</v>
      </c>
      <c r="I7" s="136"/>
      <c r="J7" s="164"/>
      <c r="K7" s="164"/>
      <c r="L7" s="148" t="s">
        <v>160</v>
      </c>
      <c r="M7" s="189"/>
      <c r="N7" s="150"/>
      <c r="O7" s="302" t="s">
        <v>301</v>
      </c>
      <c r="P7" s="150"/>
      <c r="Q7" s="150"/>
      <c r="R7" s="148">
        <v>4.7</v>
      </c>
      <c r="S7" s="161" t="s">
        <v>294</v>
      </c>
      <c r="T7" s="157"/>
      <c r="U7" s="296" t="s">
        <v>293</v>
      </c>
    </row>
    <row r="8" spans="1:21" s="2" customFormat="1" ht="36">
      <c r="A8" s="137" t="s">
        <v>238</v>
      </c>
      <c r="B8" s="300"/>
      <c r="C8" s="190">
        <v>166.009</v>
      </c>
      <c r="D8" s="190"/>
      <c r="E8" s="191">
        <v>0</v>
      </c>
      <c r="F8" s="145">
        <v>168.947</v>
      </c>
      <c r="G8" s="214"/>
      <c r="H8" s="146">
        <v>0</v>
      </c>
      <c r="I8" s="136"/>
      <c r="J8" s="164"/>
      <c r="K8" s="164"/>
      <c r="L8" s="150" t="s">
        <v>160</v>
      </c>
      <c r="M8" s="192"/>
      <c r="N8" s="150"/>
      <c r="O8" s="303"/>
      <c r="P8" s="149"/>
      <c r="Q8" s="163"/>
      <c r="R8" s="148"/>
      <c r="S8" s="161" t="s">
        <v>294</v>
      </c>
      <c r="T8" s="157"/>
      <c r="U8" s="297"/>
    </row>
    <row r="9" spans="1:21" s="2" customFormat="1" ht="82.5" customHeight="1">
      <c r="A9" s="137" t="s">
        <v>239</v>
      </c>
      <c r="B9" s="301"/>
      <c r="C9" s="193">
        <v>0</v>
      </c>
      <c r="D9" s="181"/>
      <c r="E9" s="194">
        <v>0.024</v>
      </c>
      <c r="F9" s="201">
        <v>0</v>
      </c>
      <c r="G9" s="212"/>
      <c r="H9" s="201">
        <v>0</v>
      </c>
      <c r="I9" s="213"/>
      <c r="J9" s="202"/>
      <c r="K9" s="202"/>
      <c r="L9" s="150" t="s">
        <v>160</v>
      </c>
      <c r="M9" s="192"/>
      <c r="N9" s="150"/>
      <c r="O9" s="304"/>
      <c r="P9" s="149"/>
      <c r="Q9" s="163"/>
      <c r="R9" s="148"/>
      <c r="S9" s="161" t="s">
        <v>294</v>
      </c>
      <c r="T9" s="157"/>
      <c r="U9" s="298"/>
    </row>
  </sheetData>
  <sheetProtection/>
  <mergeCells count="6">
    <mergeCell ref="U7:U9"/>
    <mergeCell ref="B7:B9"/>
    <mergeCell ref="C4:E4"/>
    <mergeCell ref="F4:H4"/>
    <mergeCell ref="I4:K4"/>
    <mergeCell ref="O7:O9"/>
  </mergeCells>
  <printOptions/>
  <pageMargins left="0" right="0" top="0.6" bottom="0.4" header="0.5" footer="0.3"/>
  <pageSetup fitToHeight="1" fitToWidth="1" horizontalDpi="600" verticalDpi="600" orientation="landscape" scale="46" r:id="rId1"/>
</worksheet>
</file>

<file path=xl/worksheets/sheet12.xml><?xml version="1.0" encoding="utf-8"?>
<worksheet xmlns="http://schemas.openxmlformats.org/spreadsheetml/2006/main" xmlns:r="http://schemas.openxmlformats.org/officeDocument/2006/relationships">
  <sheetPr>
    <pageSetUpPr fitToPage="1"/>
  </sheetPr>
  <dimension ref="A1:V13"/>
  <sheetViews>
    <sheetView view="pageBreakPreview" zoomScale="60" zoomScalePageLayoutView="0" workbookViewId="0" topLeftCell="A1">
      <selection activeCell="A7" sqref="A7:IV13"/>
    </sheetView>
  </sheetViews>
  <sheetFormatPr defaultColWidth="9.140625" defaultRowHeight="12.75" outlineLevelCol="1"/>
  <cols>
    <col min="1" max="2" width="33.7109375" style="1" customWidth="1"/>
    <col min="3" max="3" width="20.7109375" style="1" hidden="1" customWidth="1" outlineLevel="1"/>
    <col min="4" max="4" width="2.7109375" style="1" hidden="1" customWidth="1" outlineLevel="1"/>
    <col min="5" max="5" width="20.7109375" style="1" hidden="1" customWidth="1" outlineLevel="1"/>
    <col min="6" max="6" width="12.7109375" style="1" customWidth="1" collapsed="1"/>
    <col min="7" max="7" width="2.7109375" style="1" customWidth="1"/>
    <col min="8" max="9" width="12.7109375" style="1" customWidth="1"/>
    <col min="10" max="10" width="2.7109375" style="1" customWidth="1"/>
    <col min="11" max="12" width="12.7109375" style="1" customWidth="1"/>
    <col min="13" max="13" width="19.28125" style="1" customWidth="1"/>
    <col min="14" max="14" width="34.28125" style="1" customWidth="1"/>
    <col min="15" max="15" width="37.7109375" style="1" customWidth="1"/>
    <col min="16" max="17" width="20.7109375" style="1" customWidth="1"/>
    <col min="18" max="18" width="20.7109375" style="1" hidden="1" customWidth="1"/>
    <col min="19" max="19" width="20.7109375" style="1" customWidth="1"/>
    <col min="20" max="20" width="17.8515625" style="1" customWidth="1"/>
    <col min="21" max="21" width="21.421875" style="1" customWidth="1"/>
    <col min="22" max="22" width="15.00390625" style="1" customWidth="1"/>
    <col min="23" max="16384" width="9.140625" style="1" customWidth="1"/>
  </cols>
  <sheetData>
    <row r="1" spans="1:11" s="2" customFormat="1" ht="19.5">
      <c r="A1" s="3" t="s">
        <v>245</v>
      </c>
      <c r="B1" s="3"/>
      <c r="C1" s="3"/>
      <c r="D1" s="3"/>
      <c r="E1" s="3"/>
      <c r="F1" s="3"/>
      <c r="G1" s="3"/>
      <c r="H1" s="3"/>
      <c r="I1" s="3"/>
      <c r="J1" s="3"/>
      <c r="K1" s="3"/>
    </row>
    <row r="2" spans="1:11" s="2" customFormat="1" ht="19.5">
      <c r="A2" s="3" t="s">
        <v>17</v>
      </c>
      <c r="B2" s="3"/>
      <c r="C2" s="3"/>
      <c r="D2" s="3"/>
      <c r="E2" s="3"/>
      <c r="F2" s="3"/>
      <c r="G2" s="3"/>
      <c r="H2" s="3"/>
      <c r="I2" s="3"/>
      <c r="J2" s="3"/>
      <c r="K2" s="3"/>
    </row>
    <row r="3" spans="1:11" s="2" customFormat="1" ht="19.5">
      <c r="A3" s="3"/>
      <c r="B3" s="3"/>
      <c r="C3" s="3"/>
      <c r="D3" s="3"/>
      <c r="E3" s="3"/>
      <c r="F3" s="3"/>
      <c r="G3" s="3"/>
      <c r="H3" s="3"/>
      <c r="I3" s="3"/>
      <c r="J3" s="3"/>
      <c r="K3" s="3"/>
    </row>
    <row r="4" spans="3:11" s="2" customFormat="1" ht="18">
      <c r="C4" s="282" t="s">
        <v>210</v>
      </c>
      <c r="D4" s="282"/>
      <c r="E4" s="282"/>
      <c r="F4" s="287" t="s">
        <v>16</v>
      </c>
      <c r="G4" s="287"/>
      <c r="H4" s="287"/>
      <c r="I4" s="287" t="s">
        <v>250</v>
      </c>
      <c r="J4" s="287"/>
      <c r="K4" s="287"/>
    </row>
    <row r="5" spans="1:22" s="2" customFormat="1" ht="54">
      <c r="A5" s="197" t="s">
        <v>152</v>
      </c>
      <c r="B5" s="72" t="s">
        <v>209</v>
      </c>
      <c r="C5" s="5" t="s">
        <v>164</v>
      </c>
      <c r="D5" s="5"/>
      <c r="E5" s="5" t="s">
        <v>249</v>
      </c>
      <c r="F5" s="5" t="s">
        <v>164</v>
      </c>
      <c r="G5" s="5"/>
      <c r="H5" s="5" t="s">
        <v>249</v>
      </c>
      <c r="I5" s="5" t="s">
        <v>164</v>
      </c>
      <c r="J5" s="5"/>
      <c r="K5" s="5" t="s">
        <v>249</v>
      </c>
      <c r="L5" s="5" t="s">
        <v>51</v>
      </c>
      <c r="M5" s="5" t="s">
        <v>296</v>
      </c>
      <c r="N5" s="5" t="s">
        <v>298</v>
      </c>
      <c r="O5" s="5" t="s">
        <v>43</v>
      </c>
      <c r="P5" s="43" t="s">
        <v>200</v>
      </c>
      <c r="Q5" s="5" t="s">
        <v>46</v>
      </c>
      <c r="R5" s="5" t="s">
        <v>44</v>
      </c>
      <c r="S5" s="5" t="s">
        <v>172</v>
      </c>
      <c r="T5" s="5" t="s">
        <v>225</v>
      </c>
      <c r="U5" s="5" t="s">
        <v>287</v>
      </c>
      <c r="V5" s="5" t="s">
        <v>18</v>
      </c>
    </row>
    <row r="6" spans="6:8" ht="15">
      <c r="F6" s="135"/>
      <c r="G6" s="135"/>
      <c r="H6" s="135"/>
    </row>
    <row r="7" spans="1:22" s="2" customFormat="1" ht="36">
      <c r="A7" s="137" t="s">
        <v>240</v>
      </c>
      <c r="B7" s="293" t="s">
        <v>268</v>
      </c>
      <c r="C7" s="196">
        <v>2882.875</v>
      </c>
      <c r="D7" s="196"/>
      <c r="E7" s="196">
        <v>0</v>
      </c>
      <c r="F7" s="214">
        <v>2088.033</v>
      </c>
      <c r="G7" s="146"/>
      <c r="H7" s="146">
        <v>0</v>
      </c>
      <c r="I7" s="144">
        <f>F7-C7</f>
        <v>-794.8420000000001</v>
      </c>
      <c r="J7" s="146"/>
      <c r="K7" s="146">
        <f>H7-E7</f>
        <v>0</v>
      </c>
      <c r="L7" s="148" t="s">
        <v>13</v>
      </c>
      <c r="M7" s="148" t="s">
        <v>15</v>
      </c>
      <c r="N7" s="293" t="s">
        <v>302</v>
      </c>
      <c r="O7" s="293" t="s">
        <v>297</v>
      </c>
      <c r="P7" s="150"/>
      <c r="Q7" s="150"/>
      <c r="R7" s="148"/>
      <c r="S7" s="147"/>
      <c r="T7" s="312" t="s">
        <v>289</v>
      </c>
      <c r="U7" s="309" t="s">
        <v>14</v>
      </c>
      <c r="V7" s="305" t="s">
        <v>295</v>
      </c>
    </row>
    <row r="8" spans="1:22" s="2" customFormat="1" ht="36">
      <c r="A8" s="137" t="s">
        <v>241</v>
      </c>
      <c r="B8" s="308"/>
      <c r="C8" s="188">
        <v>467.937</v>
      </c>
      <c r="D8" s="188"/>
      <c r="E8" s="188">
        <v>0</v>
      </c>
      <c r="F8" s="214">
        <v>313.414</v>
      </c>
      <c r="G8" s="146"/>
      <c r="H8" s="146">
        <v>0</v>
      </c>
      <c r="I8" s="144">
        <f aca="true" t="shared" si="0" ref="I8:K11">F8-C8</f>
        <v>-154.52300000000002</v>
      </c>
      <c r="J8" s="146"/>
      <c r="K8" s="146">
        <f t="shared" si="0"/>
        <v>0</v>
      </c>
      <c r="L8" s="148" t="s">
        <v>13</v>
      </c>
      <c r="M8" s="148" t="s">
        <v>15</v>
      </c>
      <c r="N8" s="308"/>
      <c r="O8" s="308"/>
      <c r="P8" s="149"/>
      <c r="Q8" s="163"/>
      <c r="R8" s="148"/>
      <c r="S8" s="147"/>
      <c r="T8" s="313"/>
      <c r="U8" s="310"/>
      <c r="V8" s="306"/>
    </row>
    <row r="9" spans="1:22" s="2" customFormat="1" ht="36">
      <c r="A9" s="137" t="s">
        <v>242</v>
      </c>
      <c r="B9" s="308"/>
      <c r="C9" s="188">
        <v>550.008</v>
      </c>
      <c r="D9" s="188"/>
      <c r="E9" s="188">
        <v>0</v>
      </c>
      <c r="F9" s="214">
        <v>518.541</v>
      </c>
      <c r="G9" s="146"/>
      <c r="H9" s="146">
        <v>0</v>
      </c>
      <c r="I9" s="144">
        <f t="shared" si="0"/>
        <v>-31.466999999999985</v>
      </c>
      <c r="J9" s="146"/>
      <c r="K9" s="146">
        <f t="shared" si="0"/>
        <v>0</v>
      </c>
      <c r="L9" s="148" t="s">
        <v>13</v>
      </c>
      <c r="M9" s="148" t="s">
        <v>15</v>
      </c>
      <c r="N9" s="308"/>
      <c r="O9" s="308"/>
      <c r="P9" s="149"/>
      <c r="Q9" s="163"/>
      <c r="R9" s="148"/>
      <c r="S9" s="147"/>
      <c r="T9" s="313"/>
      <c r="U9" s="310"/>
      <c r="V9" s="306"/>
    </row>
    <row r="10" spans="1:22" s="2" customFormat="1" ht="36">
      <c r="A10" s="137" t="s">
        <v>243</v>
      </c>
      <c r="B10" s="294"/>
      <c r="C10" s="195">
        <v>50.75</v>
      </c>
      <c r="D10" s="195"/>
      <c r="E10" s="195">
        <v>50.963</v>
      </c>
      <c r="F10" s="156">
        <v>0</v>
      </c>
      <c r="G10" s="201"/>
      <c r="H10" s="201">
        <v>0</v>
      </c>
      <c r="I10" s="156">
        <f t="shared" si="0"/>
        <v>-50.75</v>
      </c>
      <c r="J10" s="201"/>
      <c r="K10" s="201">
        <f t="shared" si="0"/>
        <v>-50.963</v>
      </c>
      <c r="L10" s="148" t="s">
        <v>13</v>
      </c>
      <c r="M10" s="148" t="s">
        <v>15</v>
      </c>
      <c r="N10" s="294"/>
      <c r="O10" s="294"/>
      <c r="P10" s="149"/>
      <c r="Q10" s="163"/>
      <c r="R10" s="148"/>
      <c r="S10" s="147"/>
      <c r="T10" s="314"/>
      <c r="U10" s="311"/>
      <c r="V10" s="306"/>
    </row>
    <row r="11" spans="1:22" s="2" customFormat="1" ht="24.75" customHeight="1">
      <c r="A11" s="137" t="s">
        <v>244</v>
      </c>
      <c r="B11" s="203"/>
      <c r="C11" s="153">
        <v>50.208</v>
      </c>
      <c r="D11" s="153"/>
      <c r="E11" s="153">
        <v>0.1</v>
      </c>
      <c r="F11" s="153">
        <v>50.1</v>
      </c>
      <c r="G11" s="153" t="s">
        <v>175</v>
      </c>
      <c r="H11" s="180">
        <v>0.1</v>
      </c>
      <c r="I11" s="153">
        <f t="shared" si="0"/>
        <v>-0.10799999999999699</v>
      </c>
      <c r="J11" s="182"/>
      <c r="K11" s="153">
        <f t="shared" si="0"/>
        <v>0</v>
      </c>
      <c r="L11" s="150" t="s">
        <v>159</v>
      </c>
      <c r="M11" s="150"/>
      <c r="N11" s="148"/>
      <c r="O11" s="148"/>
      <c r="P11" s="149"/>
      <c r="Q11" s="163"/>
      <c r="R11" s="148"/>
      <c r="S11" s="147"/>
      <c r="T11" s="157"/>
      <c r="U11" s="158"/>
      <c r="V11" s="307"/>
    </row>
    <row r="13" ht="15">
      <c r="A13" s="1" t="s">
        <v>12</v>
      </c>
    </row>
  </sheetData>
  <sheetProtection/>
  <mergeCells count="9">
    <mergeCell ref="V7:V11"/>
    <mergeCell ref="B7:B10"/>
    <mergeCell ref="C4:E4"/>
    <mergeCell ref="F4:H4"/>
    <mergeCell ref="I4:K4"/>
    <mergeCell ref="N7:N10"/>
    <mergeCell ref="U7:U10"/>
    <mergeCell ref="O7:O10"/>
    <mergeCell ref="T7:T10"/>
  </mergeCells>
  <printOptions/>
  <pageMargins left="0" right="0" top="0.6" bottom="0.4" header="0.5" footer="0.3"/>
  <pageSetup fitToHeight="1" fitToWidth="1" horizontalDpi="600" verticalDpi="600" orientation="landscape" scale="40" r:id="rId1"/>
</worksheet>
</file>

<file path=xl/worksheets/sheet13.xml><?xml version="1.0" encoding="utf-8"?>
<worksheet xmlns="http://schemas.openxmlformats.org/spreadsheetml/2006/main" xmlns:r="http://schemas.openxmlformats.org/officeDocument/2006/relationships">
  <sheetPr>
    <pageSetUpPr fitToPage="1"/>
  </sheetPr>
  <dimension ref="A1:T8"/>
  <sheetViews>
    <sheetView view="pageBreakPreview" zoomScale="60" zoomScalePageLayoutView="0" workbookViewId="0" topLeftCell="A1">
      <selection activeCell="A7" sqref="A7:IV8"/>
    </sheetView>
  </sheetViews>
  <sheetFormatPr defaultColWidth="9.140625" defaultRowHeight="12.75" outlineLevelCol="1"/>
  <cols>
    <col min="1" max="2" width="33.7109375" style="1" customWidth="1"/>
    <col min="3" max="3" width="20.7109375" style="1" hidden="1" customWidth="1" outlineLevel="1"/>
    <col min="4" max="4" width="2.7109375" style="1" hidden="1" customWidth="1" outlineLevel="1"/>
    <col min="5" max="5" width="20.7109375" style="1" hidden="1" customWidth="1" outlineLevel="1"/>
    <col min="6" max="6" width="14.7109375" style="1" customWidth="1" collapsed="1"/>
    <col min="7" max="7" width="1.7109375" style="1" customWidth="1"/>
    <col min="8" max="9" width="14.7109375" style="1" customWidth="1"/>
    <col min="10" max="10" width="1.7109375" style="1" customWidth="1"/>
    <col min="11" max="11" width="14.7109375" style="1" customWidth="1"/>
    <col min="12" max="12" width="12.7109375" style="1" customWidth="1"/>
    <col min="13" max="13" width="19.28125" style="1" customWidth="1"/>
    <col min="14" max="17" width="20.7109375" style="1" customWidth="1"/>
    <col min="18" max="18" width="20.7109375" style="1" hidden="1" customWidth="1"/>
    <col min="19" max="20" width="20.7109375" style="1" customWidth="1"/>
    <col min="21" max="16384" width="9.140625" style="1" customWidth="1"/>
  </cols>
  <sheetData>
    <row r="1" spans="1:11" s="2" customFormat="1" ht="19.5">
      <c r="A1" s="3" t="s">
        <v>8</v>
      </c>
      <c r="B1" s="3"/>
      <c r="C1" s="3"/>
      <c r="D1" s="3"/>
      <c r="E1" s="3"/>
      <c r="F1" s="3"/>
      <c r="G1" s="3"/>
      <c r="H1" s="3"/>
      <c r="I1" s="3"/>
      <c r="J1" s="3"/>
      <c r="K1" s="3"/>
    </row>
    <row r="2" spans="1:11" s="2" customFormat="1" ht="19.5">
      <c r="A2" s="3" t="s">
        <v>17</v>
      </c>
      <c r="B2" s="3"/>
      <c r="C2" s="3"/>
      <c r="D2" s="3"/>
      <c r="E2" s="3"/>
      <c r="F2" s="3"/>
      <c r="G2" s="3"/>
      <c r="H2" s="3"/>
      <c r="I2" s="3"/>
      <c r="J2" s="3"/>
      <c r="K2" s="3"/>
    </row>
    <row r="3" spans="1:11" s="2" customFormat="1" ht="19.5">
      <c r="A3" s="3"/>
      <c r="B3" s="3"/>
      <c r="C3" s="3"/>
      <c r="D3" s="3"/>
      <c r="E3" s="3"/>
      <c r="F3" s="3"/>
      <c r="G3" s="3"/>
      <c r="H3" s="3"/>
      <c r="I3" s="3"/>
      <c r="J3" s="3"/>
      <c r="K3" s="3"/>
    </row>
    <row r="4" spans="3:11" s="2" customFormat="1" ht="18">
      <c r="C4" s="282" t="s">
        <v>210</v>
      </c>
      <c r="D4" s="282"/>
      <c r="E4" s="282"/>
      <c r="F4" s="287" t="s">
        <v>16</v>
      </c>
      <c r="G4" s="287"/>
      <c r="H4" s="287"/>
      <c r="I4" s="287" t="s">
        <v>250</v>
      </c>
      <c r="J4" s="287"/>
      <c r="K4" s="287"/>
    </row>
    <row r="5" spans="1:20" s="2" customFormat="1" ht="112.5" customHeight="1">
      <c r="A5" s="197" t="s">
        <v>9</v>
      </c>
      <c r="B5" s="72" t="s">
        <v>209</v>
      </c>
      <c r="C5" s="5" t="s">
        <v>164</v>
      </c>
      <c r="D5" s="5"/>
      <c r="E5" s="5" t="s">
        <v>249</v>
      </c>
      <c r="F5" s="5" t="s">
        <v>164</v>
      </c>
      <c r="G5" s="5"/>
      <c r="H5" s="5" t="s">
        <v>249</v>
      </c>
      <c r="I5" s="5" t="s">
        <v>164</v>
      </c>
      <c r="J5" s="5"/>
      <c r="K5" s="5" t="s">
        <v>249</v>
      </c>
      <c r="L5" s="5" t="s">
        <v>51</v>
      </c>
      <c r="M5" s="5" t="s">
        <v>296</v>
      </c>
      <c r="N5" s="5" t="s">
        <v>298</v>
      </c>
      <c r="O5" s="5" t="s">
        <v>43</v>
      </c>
      <c r="P5" s="43" t="s">
        <v>200</v>
      </c>
      <c r="Q5" s="5" t="s">
        <v>46</v>
      </c>
      <c r="R5" s="5" t="s">
        <v>44</v>
      </c>
      <c r="S5" s="5" t="s">
        <v>172</v>
      </c>
      <c r="T5" s="5" t="s">
        <v>225</v>
      </c>
    </row>
    <row r="6" spans="6:8" ht="15">
      <c r="F6" s="135"/>
      <c r="G6" s="135"/>
      <c r="H6" s="135"/>
    </row>
    <row r="7" spans="1:20" s="2" customFormat="1" ht="216">
      <c r="A7" s="137" t="s">
        <v>10</v>
      </c>
      <c r="B7" s="217" t="s">
        <v>270</v>
      </c>
      <c r="C7" s="153">
        <v>0</v>
      </c>
      <c r="D7" s="153"/>
      <c r="E7" s="153">
        <v>37.736</v>
      </c>
      <c r="F7" s="216">
        <v>0</v>
      </c>
      <c r="G7" s="181"/>
      <c r="H7" s="216">
        <v>77.726</v>
      </c>
      <c r="I7" s="216">
        <f>F7-C7</f>
        <v>0</v>
      </c>
      <c r="J7" s="153"/>
      <c r="K7" s="216">
        <f>H7-E7</f>
        <v>39.99</v>
      </c>
      <c r="L7" s="148" t="s">
        <v>160</v>
      </c>
      <c r="M7" s="148"/>
      <c r="N7" s="150"/>
      <c r="O7" s="150"/>
      <c r="P7" s="150"/>
      <c r="Q7" s="143"/>
      <c r="R7" s="142"/>
      <c r="S7" s="218"/>
      <c r="T7" s="219"/>
    </row>
    <row r="8" spans="1:20" s="2" customFormat="1" ht="126">
      <c r="A8" s="137" t="s">
        <v>11</v>
      </c>
      <c r="B8" s="215" t="s">
        <v>7</v>
      </c>
      <c r="C8" s="153">
        <v>0</v>
      </c>
      <c r="D8" s="153"/>
      <c r="E8" s="153">
        <v>3.312</v>
      </c>
      <c r="F8" s="181">
        <v>0</v>
      </c>
      <c r="G8" s="181"/>
      <c r="H8" s="216">
        <v>3.312</v>
      </c>
      <c r="I8" s="216">
        <f>F8-C8</f>
        <v>0</v>
      </c>
      <c r="J8" s="153"/>
      <c r="K8" s="216">
        <f>H8-E8</f>
        <v>0</v>
      </c>
      <c r="L8" s="148"/>
      <c r="M8" s="148"/>
      <c r="N8" s="150"/>
      <c r="O8" s="150"/>
      <c r="P8" s="150"/>
      <c r="Q8" s="143"/>
      <c r="R8" s="142"/>
      <c r="S8" s="218"/>
      <c r="T8" s="219"/>
    </row>
  </sheetData>
  <sheetProtection/>
  <mergeCells count="3">
    <mergeCell ref="C4:E4"/>
    <mergeCell ref="F4:H4"/>
    <mergeCell ref="I4:K4"/>
  </mergeCells>
  <printOptions/>
  <pageMargins left="0" right="0" top="0.6" bottom="0.4" header="0.5" footer="0.3"/>
  <pageSetup fitToHeight="1" fitToWidth="1" horizontalDpi="600" verticalDpi="600" orientation="landscape" scale="48" r:id="rId1"/>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C203"/>
  <sheetViews>
    <sheetView view="pageBreakPreview" zoomScale="60" zoomScaleNormal="80" zoomScalePageLayoutView="0" workbookViewId="0" topLeftCell="A1">
      <selection activeCell="A1" sqref="A1"/>
    </sheetView>
  </sheetViews>
  <sheetFormatPr defaultColWidth="9.140625" defaultRowHeight="12.75" outlineLevelCol="1"/>
  <cols>
    <col min="1" max="1" width="4.421875" style="19" customWidth="1"/>
    <col min="2" max="2" width="4.140625" style="19" customWidth="1"/>
    <col min="3" max="3" width="34.00390625" style="19" customWidth="1"/>
    <col min="4" max="4" width="9.140625" style="19" customWidth="1"/>
    <col min="5" max="5" width="1.28515625" style="19" customWidth="1"/>
    <col min="6" max="6" width="0" style="19" hidden="1" customWidth="1"/>
    <col min="7" max="7" width="1.28515625" style="20" hidden="1" customWidth="1"/>
    <col min="8" max="8" width="13.00390625" style="19" customWidth="1"/>
    <col min="9" max="9" width="2.28125" style="19" customWidth="1"/>
    <col min="10" max="10" width="11.421875" style="19" bestFit="1" customWidth="1"/>
    <col min="11" max="11" width="1.7109375" style="19" customWidth="1"/>
    <col min="12" max="12" width="10.140625" style="19" bestFit="1" customWidth="1"/>
    <col min="13" max="13" width="9.8515625" style="19" bestFit="1" customWidth="1"/>
    <col min="14" max="14" width="10.140625" style="19" bestFit="1" customWidth="1"/>
    <col min="15" max="15" width="2.28125" style="19" customWidth="1"/>
    <col min="16" max="16" width="10.7109375" style="19" bestFit="1" customWidth="1"/>
    <col min="17" max="17" width="10.00390625" style="19" bestFit="1" customWidth="1"/>
    <col min="18" max="18" width="9.8515625" style="19" customWidth="1"/>
    <col min="19" max="19" width="2.00390625" style="19" customWidth="1"/>
    <col min="20" max="20" width="9.140625" style="19" hidden="1" customWidth="1" outlineLevel="1"/>
    <col min="21" max="21" width="12.8515625" style="19" hidden="1" customWidth="1" outlineLevel="1"/>
    <col min="22" max="22" width="12.140625" style="19" hidden="1" customWidth="1" outlineLevel="1"/>
    <col min="23" max="23" width="11.7109375" style="19" hidden="1" customWidth="1" outlineLevel="1"/>
    <col min="24" max="24" width="9.140625" style="19" hidden="1" customWidth="1" outlineLevel="1"/>
    <col min="25" max="25" width="20.7109375" style="19" hidden="1" customWidth="1" outlineLevel="1" collapsed="1"/>
    <col min="26" max="27" width="20.7109375" style="19" hidden="1" customWidth="1" outlineLevel="1"/>
    <col min="28" max="28" width="17.7109375" style="19" customWidth="1" collapsed="1"/>
    <col min="29" max="29" width="6.57421875" style="19" customWidth="1"/>
    <col min="30" max="16384" width="9.140625" style="19" customWidth="1"/>
  </cols>
  <sheetData>
    <row r="1" spans="1:28" ht="15.75" thickBot="1">
      <c r="A1" s="17" t="s">
        <v>189</v>
      </c>
      <c r="B1" s="18"/>
      <c r="C1" s="18"/>
      <c r="D1" s="18"/>
      <c r="E1" s="18"/>
      <c r="F1" s="18"/>
      <c r="G1" s="18"/>
      <c r="H1" s="18"/>
      <c r="I1" s="18"/>
      <c r="J1" s="18"/>
      <c r="K1" s="18"/>
      <c r="L1" s="18"/>
      <c r="M1" s="18"/>
      <c r="N1" s="18"/>
      <c r="O1" s="18"/>
      <c r="P1" s="18"/>
      <c r="Q1" s="18"/>
      <c r="R1" s="18"/>
      <c r="S1" s="18"/>
      <c r="T1" s="18"/>
      <c r="U1" s="18"/>
      <c r="V1" s="18"/>
      <c r="W1" s="18"/>
      <c r="X1" s="18"/>
      <c r="Y1" s="18"/>
      <c r="Z1" s="18"/>
      <c r="AA1" s="18"/>
      <c r="AB1" s="18"/>
    </row>
    <row r="4" spans="8:29" ht="42" customHeight="1">
      <c r="H4" s="282" t="s">
        <v>50</v>
      </c>
      <c r="I4" s="282"/>
      <c r="J4" s="282"/>
      <c r="L4" s="282" t="s">
        <v>163</v>
      </c>
      <c r="M4" s="282"/>
      <c r="N4" s="282"/>
      <c r="O4" s="21"/>
      <c r="P4" s="282" t="s">
        <v>204</v>
      </c>
      <c r="Q4" s="282"/>
      <c r="R4" s="282"/>
      <c r="Z4" s="55"/>
      <c r="AA4" s="55"/>
      <c r="AB4" s="56" t="s">
        <v>205</v>
      </c>
      <c r="AC4" s="55"/>
    </row>
    <row r="5" ht="4.5" customHeight="1"/>
    <row r="6" spans="4:28" ht="45.75" thickBot="1">
      <c r="D6" s="22" t="s">
        <v>51</v>
      </c>
      <c r="F6" s="22" t="s">
        <v>185</v>
      </c>
      <c r="G6" s="23"/>
      <c r="H6" s="24" t="s">
        <v>164</v>
      </c>
      <c r="I6" s="24"/>
      <c r="J6" s="22" t="s">
        <v>44</v>
      </c>
      <c r="K6" s="25"/>
      <c r="L6" s="22" t="s">
        <v>52</v>
      </c>
      <c r="M6" s="22" t="s">
        <v>53</v>
      </c>
      <c r="N6" s="22" t="s">
        <v>54</v>
      </c>
      <c r="O6" s="23"/>
      <c r="P6" s="22" t="s">
        <v>52</v>
      </c>
      <c r="Q6" s="22" t="s">
        <v>53</v>
      </c>
      <c r="R6" s="22" t="s">
        <v>54</v>
      </c>
      <c r="T6" s="26" t="s">
        <v>55</v>
      </c>
      <c r="U6" s="26" t="s">
        <v>56</v>
      </c>
      <c r="V6" s="26" t="s">
        <v>57</v>
      </c>
      <c r="W6" s="26" t="s">
        <v>58</v>
      </c>
      <c r="X6" s="26" t="s">
        <v>59</v>
      </c>
      <c r="Y6" s="24" t="s">
        <v>186</v>
      </c>
      <c r="Z6" s="24" t="s">
        <v>187</v>
      </c>
      <c r="AA6" s="24" t="s">
        <v>188</v>
      </c>
      <c r="AB6" s="24" t="s">
        <v>203</v>
      </c>
    </row>
    <row r="7" spans="1:25" ht="15">
      <c r="A7" s="19" t="s">
        <v>60</v>
      </c>
      <c r="D7" s="27"/>
      <c r="E7" s="27"/>
      <c r="F7" s="27"/>
      <c r="G7" s="28"/>
      <c r="H7" s="27"/>
      <c r="I7" s="27"/>
      <c r="J7" s="27"/>
      <c r="K7" s="27"/>
      <c r="L7" s="27"/>
      <c r="M7" s="27"/>
      <c r="N7" s="27"/>
      <c r="O7" s="28"/>
      <c r="P7" s="27"/>
      <c r="Q7" s="27"/>
      <c r="R7" s="27"/>
      <c r="S7" s="27"/>
      <c r="T7" s="27"/>
      <c r="U7" s="27"/>
      <c r="V7" s="27"/>
      <c r="W7" s="27"/>
      <c r="X7" s="27"/>
      <c r="Y7" s="27"/>
    </row>
    <row r="8" spans="1:28" ht="15">
      <c r="A8" s="29" t="s">
        <v>40</v>
      </c>
      <c r="B8" s="30"/>
      <c r="C8" s="30"/>
      <c r="D8" s="31"/>
      <c r="E8" s="31"/>
      <c r="F8" s="31"/>
      <c r="G8" s="32"/>
      <c r="H8" s="31"/>
      <c r="I8" s="31"/>
      <c r="J8" s="31"/>
      <c r="K8" s="31"/>
      <c r="L8" s="31"/>
      <c r="M8" s="31"/>
      <c r="N8" s="31"/>
      <c r="O8" s="32"/>
      <c r="P8" s="31"/>
      <c r="Q8" s="31"/>
      <c r="R8" s="31"/>
      <c r="S8" s="31"/>
      <c r="T8" s="31"/>
      <c r="U8" s="31"/>
      <c r="V8" s="31"/>
      <c r="W8" s="31"/>
      <c r="X8" s="31"/>
      <c r="Y8" s="31"/>
      <c r="Z8" s="31"/>
      <c r="AA8" s="31"/>
      <c r="AB8" s="31"/>
    </row>
    <row r="9" spans="2:25" ht="15">
      <c r="B9" s="33" t="s">
        <v>61</v>
      </c>
      <c r="D9" s="27"/>
      <c r="E9" s="27"/>
      <c r="F9" s="27"/>
      <c r="G9" s="28"/>
      <c r="H9" s="27"/>
      <c r="I9" s="27"/>
      <c r="J9" s="27"/>
      <c r="K9" s="27"/>
      <c r="L9" s="27"/>
      <c r="M9" s="27"/>
      <c r="N9" s="27"/>
      <c r="O9" s="27"/>
      <c r="P9" s="27"/>
      <c r="Q9" s="27"/>
      <c r="R9" s="27"/>
      <c r="S9" s="27"/>
      <c r="T9" s="27"/>
      <c r="U9" s="27"/>
      <c r="V9" s="27"/>
      <c r="W9" s="27"/>
      <c r="X9" s="27"/>
      <c r="Y9" s="27"/>
    </row>
    <row r="10" spans="3:28" ht="15">
      <c r="C10" s="19" t="s">
        <v>62</v>
      </c>
      <c r="D10" s="27" t="s">
        <v>159</v>
      </c>
      <c r="E10" s="27"/>
      <c r="F10" s="27"/>
      <c r="G10" s="28"/>
      <c r="H10" s="45">
        <v>157.212368</v>
      </c>
      <c r="I10" s="45"/>
      <c r="J10" s="45">
        <v>0.77127575</v>
      </c>
      <c r="K10" s="45"/>
      <c r="L10" s="45">
        <f>(P10/7)*12</f>
        <v>-0.19521882857142847</v>
      </c>
      <c r="M10" s="45">
        <f>(Q10/7)*12</f>
        <v>0.13240167428571428</v>
      </c>
      <c r="N10" s="45">
        <f aca="true" t="shared" si="0" ref="N10:N18">L10+M10</f>
        <v>-0.06281715428571419</v>
      </c>
      <c r="O10" s="45"/>
      <c r="P10" s="45">
        <v>-0.11387764999999994</v>
      </c>
      <c r="Q10" s="45">
        <v>0.07723431</v>
      </c>
      <c r="R10" s="45">
        <v>-0.03664333999999994</v>
      </c>
      <c r="S10" s="45"/>
      <c r="T10" s="45"/>
      <c r="U10" s="45"/>
      <c r="V10" s="45"/>
      <c r="W10" s="45"/>
      <c r="X10" s="45"/>
      <c r="Y10" s="45">
        <v>0.48298060000000004</v>
      </c>
      <c r="Z10" s="45">
        <v>0</v>
      </c>
      <c r="AA10" s="45">
        <v>0.5884496199999999</v>
      </c>
      <c r="AB10" s="45">
        <f>SUM(Y10:AA10)</f>
        <v>1.0714302199999999</v>
      </c>
    </row>
    <row r="11" spans="3:28" ht="15">
      <c r="C11" s="19" t="s">
        <v>41</v>
      </c>
      <c r="D11" s="27" t="s">
        <v>160</v>
      </c>
      <c r="E11" s="27"/>
      <c r="F11" s="27"/>
      <c r="G11" s="28"/>
      <c r="H11" s="45">
        <v>0</v>
      </c>
      <c r="I11" s="45"/>
      <c r="J11" s="45">
        <v>0</v>
      </c>
      <c r="K11" s="45"/>
      <c r="L11" s="45">
        <f aca="true" t="shared" si="1" ref="L11:L17">(P11/7)*12</f>
        <v>22.543815857142853</v>
      </c>
      <c r="M11" s="45">
        <f aca="true" t="shared" si="2" ref="M11:M17">(Q11/7)*12</f>
        <v>0.7429011428571418</v>
      </c>
      <c r="N11" s="45">
        <f t="shared" si="0"/>
        <v>23.286716999999996</v>
      </c>
      <c r="O11" s="45"/>
      <c r="P11" s="45">
        <v>13.150559249999999</v>
      </c>
      <c r="Q11" s="45">
        <v>0.4333589999999994</v>
      </c>
      <c r="R11" s="45">
        <v>13.583918249999998</v>
      </c>
      <c r="S11" s="45"/>
      <c r="T11" s="45"/>
      <c r="U11" s="45"/>
      <c r="V11" s="45"/>
      <c r="W11" s="45"/>
      <c r="X11" s="45"/>
      <c r="Y11" s="45">
        <v>0.6252251600000001</v>
      </c>
      <c r="Z11" s="45">
        <v>0</v>
      </c>
      <c r="AA11" s="45">
        <v>3.98283322</v>
      </c>
      <c r="AB11" s="45">
        <f aca="true" t="shared" si="3" ref="AB11:AB37">SUM(Y11:AA11)</f>
        <v>4.60805838</v>
      </c>
    </row>
    <row r="12" spans="3:28" ht="15">
      <c r="C12" s="19" t="s">
        <v>63</v>
      </c>
      <c r="D12" s="27" t="s">
        <v>159</v>
      </c>
      <c r="E12" s="27"/>
      <c r="F12" s="27"/>
      <c r="G12" s="28"/>
      <c r="H12" s="45">
        <v>0</v>
      </c>
      <c r="I12" s="45"/>
      <c r="J12" s="45">
        <v>0</v>
      </c>
      <c r="K12" s="45"/>
      <c r="L12" s="45">
        <f t="shared" si="1"/>
        <v>0.005142582857142857</v>
      </c>
      <c r="M12" s="45">
        <f t="shared" si="2"/>
        <v>0</v>
      </c>
      <c r="N12" s="45">
        <f t="shared" si="0"/>
        <v>0.005142582857142857</v>
      </c>
      <c r="O12" s="45"/>
      <c r="P12" s="45">
        <v>0.00299984</v>
      </c>
      <c r="Q12" s="45">
        <v>0</v>
      </c>
      <c r="R12" s="45">
        <v>0.00299984</v>
      </c>
      <c r="S12" s="45"/>
      <c r="T12" s="45"/>
      <c r="U12" s="45"/>
      <c r="V12" s="45"/>
      <c r="W12" s="45"/>
      <c r="X12" s="45"/>
      <c r="Y12" s="45">
        <v>0.19766800999999998</v>
      </c>
      <c r="Z12" s="45">
        <v>0</v>
      </c>
      <c r="AA12" s="45">
        <v>0.20681661999999998</v>
      </c>
      <c r="AB12" s="45">
        <f t="shared" si="3"/>
        <v>0.40448462999999996</v>
      </c>
    </row>
    <row r="13" spans="3:28" ht="15">
      <c r="C13" s="19" t="s">
        <v>64</v>
      </c>
      <c r="D13" s="27" t="s">
        <v>160</v>
      </c>
      <c r="E13" s="27"/>
      <c r="F13" s="27"/>
      <c r="G13" s="28"/>
      <c r="H13" s="45">
        <v>106.54709799999999</v>
      </c>
      <c r="I13" s="45"/>
      <c r="J13" s="45">
        <v>27.15946539</v>
      </c>
      <c r="K13" s="45"/>
      <c r="L13" s="45">
        <f t="shared" si="1"/>
        <v>1.9234536857142854</v>
      </c>
      <c r="M13" s="45">
        <f t="shared" si="2"/>
        <v>-0.6413359885714285</v>
      </c>
      <c r="N13" s="45">
        <f t="shared" si="0"/>
        <v>1.282117697142857</v>
      </c>
      <c r="O13" s="45"/>
      <c r="P13" s="45">
        <v>1.12201465</v>
      </c>
      <c r="Q13" s="45">
        <v>-0.37411266</v>
      </c>
      <c r="R13" s="45">
        <v>0.7479019899999999</v>
      </c>
      <c r="S13" s="45"/>
      <c r="T13" s="45"/>
      <c r="U13" s="45"/>
      <c r="V13" s="45"/>
      <c r="W13" s="45"/>
      <c r="X13" s="45"/>
      <c r="Y13" s="45">
        <v>0.42748818</v>
      </c>
      <c r="Z13" s="45">
        <v>0</v>
      </c>
      <c r="AA13" s="45">
        <v>0.4913619400000001</v>
      </c>
      <c r="AB13" s="45">
        <f t="shared" si="3"/>
        <v>0.9188501200000001</v>
      </c>
    </row>
    <row r="14" spans="3:28" ht="15">
      <c r="C14" s="19" t="s">
        <v>65</v>
      </c>
      <c r="D14" s="27" t="s">
        <v>160</v>
      </c>
      <c r="E14" s="27"/>
      <c r="F14" s="27"/>
      <c r="G14" s="28"/>
      <c r="H14" s="45">
        <v>89.8477</v>
      </c>
      <c r="I14" s="45"/>
      <c r="J14" s="45">
        <v>35.37034687</v>
      </c>
      <c r="K14" s="45"/>
      <c r="L14" s="45">
        <f t="shared" si="1"/>
        <v>0.7219705542857143</v>
      </c>
      <c r="M14" s="45">
        <f t="shared" si="2"/>
        <v>0.34198068000000004</v>
      </c>
      <c r="N14" s="45">
        <f t="shared" si="0"/>
        <v>1.0639512342857143</v>
      </c>
      <c r="O14" s="45"/>
      <c r="P14" s="45">
        <v>0.42114949</v>
      </c>
      <c r="Q14" s="45">
        <v>0.19948873</v>
      </c>
      <c r="R14" s="45">
        <v>0.62063822</v>
      </c>
      <c r="S14" s="45"/>
      <c r="T14" s="45"/>
      <c r="U14" s="45"/>
      <c r="V14" s="45"/>
      <c r="W14" s="45"/>
      <c r="X14" s="45"/>
      <c r="Y14" s="45">
        <v>0.60702954</v>
      </c>
      <c r="Z14" s="45">
        <v>0</v>
      </c>
      <c r="AA14" s="45">
        <v>0.6192827200000001</v>
      </c>
      <c r="AB14" s="45">
        <f t="shared" si="3"/>
        <v>1.22631226</v>
      </c>
    </row>
    <row r="15" spans="3:28" ht="15">
      <c r="C15" s="19" t="s">
        <v>66</v>
      </c>
      <c r="D15" s="27" t="s">
        <v>160</v>
      </c>
      <c r="E15" s="27"/>
      <c r="F15" s="27"/>
      <c r="G15" s="28"/>
      <c r="H15" s="45">
        <v>0</v>
      </c>
      <c r="I15" s="45"/>
      <c r="J15" s="45">
        <v>1.0568969</v>
      </c>
      <c r="K15" s="45"/>
      <c r="L15" s="45">
        <f t="shared" si="1"/>
        <v>0</v>
      </c>
      <c r="M15" s="45">
        <f t="shared" si="2"/>
        <v>0</v>
      </c>
      <c r="N15" s="45">
        <f t="shared" si="0"/>
        <v>0</v>
      </c>
      <c r="O15" s="45"/>
      <c r="P15" s="45">
        <v>0</v>
      </c>
      <c r="Q15" s="45">
        <v>0</v>
      </c>
      <c r="R15" s="45">
        <v>0</v>
      </c>
      <c r="S15" s="45"/>
      <c r="T15" s="45"/>
      <c r="U15" s="45"/>
      <c r="V15" s="45"/>
      <c r="W15" s="45"/>
      <c r="X15" s="45"/>
      <c r="Y15" s="45">
        <v>0.71029068</v>
      </c>
      <c r="Z15" s="45">
        <v>0</v>
      </c>
      <c r="AA15" s="45">
        <v>2.23334345</v>
      </c>
      <c r="AB15" s="45">
        <f t="shared" si="3"/>
        <v>2.94363413</v>
      </c>
    </row>
    <row r="16" spans="3:28" ht="15">
      <c r="C16" s="19" t="s">
        <v>67</v>
      </c>
      <c r="D16" s="27" t="s">
        <v>160</v>
      </c>
      <c r="E16" s="27"/>
      <c r="F16" s="27"/>
      <c r="G16" s="28"/>
      <c r="H16" s="45">
        <v>1176.0012239999999</v>
      </c>
      <c r="I16" s="45"/>
      <c r="J16" s="45">
        <v>45.26654765999999</v>
      </c>
      <c r="K16" s="45"/>
      <c r="L16" s="45">
        <f t="shared" si="1"/>
        <v>13.256909400000001</v>
      </c>
      <c r="M16" s="45">
        <f t="shared" si="2"/>
        <v>0.7781782799999993</v>
      </c>
      <c r="N16" s="45">
        <f t="shared" si="0"/>
        <v>14.03508768</v>
      </c>
      <c r="O16" s="45"/>
      <c r="P16" s="45">
        <v>7.7331971500000005</v>
      </c>
      <c r="Q16" s="45">
        <v>0.4539373299999996</v>
      </c>
      <c r="R16" s="45">
        <v>8.187134480000001</v>
      </c>
      <c r="S16" s="45"/>
      <c r="T16" s="45"/>
      <c r="U16" s="45"/>
      <c r="V16" s="45"/>
      <c r="W16" s="45"/>
      <c r="X16" s="45"/>
      <c r="Y16" s="45">
        <v>1.25804205</v>
      </c>
      <c r="Z16" s="45">
        <v>0</v>
      </c>
      <c r="AA16" s="45">
        <v>1.5139133999999996</v>
      </c>
      <c r="AB16" s="45">
        <f t="shared" si="3"/>
        <v>2.7719554499999997</v>
      </c>
    </row>
    <row r="17" spans="3:28" ht="15">
      <c r="C17" s="19" t="s">
        <v>68</v>
      </c>
      <c r="D17" s="27" t="s">
        <v>159</v>
      </c>
      <c r="E17" s="27"/>
      <c r="F17" s="27"/>
      <c r="G17" s="28"/>
      <c r="H17" s="46">
        <v>170.04189799999997</v>
      </c>
      <c r="I17" s="46"/>
      <c r="J17" s="46">
        <v>7.44254845</v>
      </c>
      <c r="K17" s="46"/>
      <c r="L17" s="46">
        <f t="shared" si="1"/>
        <v>4.1551596857142865</v>
      </c>
      <c r="M17" s="46">
        <f t="shared" si="2"/>
        <v>-0.5788854171428571</v>
      </c>
      <c r="N17" s="46">
        <f t="shared" si="0"/>
        <v>3.5762742685714293</v>
      </c>
      <c r="O17" s="45"/>
      <c r="P17" s="46">
        <v>2.42384315</v>
      </c>
      <c r="Q17" s="46">
        <v>-0.33768316</v>
      </c>
      <c r="R17" s="46">
        <v>2.08615999</v>
      </c>
      <c r="S17" s="45"/>
      <c r="T17" s="45"/>
      <c r="U17" s="45"/>
      <c r="V17" s="45"/>
      <c r="W17" s="45"/>
      <c r="X17" s="45"/>
      <c r="Y17" s="46">
        <v>0.39040794</v>
      </c>
      <c r="Z17" s="46">
        <v>0</v>
      </c>
      <c r="AA17" s="46">
        <v>1.78523177</v>
      </c>
      <c r="AB17" s="46">
        <f t="shared" si="3"/>
        <v>2.17563971</v>
      </c>
    </row>
    <row r="18" spans="3:28" ht="15" hidden="1">
      <c r="C18" s="19" t="s">
        <v>69</v>
      </c>
      <c r="D18" s="27" t="s">
        <v>161</v>
      </c>
      <c r="E18" s="27"/>
      <c r="F18" s="27"/>
      <c r="G18" s="28"/>
      <c r="H18" s="46">
        <v>0</v>
      </c>
      <c r="I18" s="46"/>
      <c r="J18" s="46">
        <v>0</v>
      </c>
      <c r="K18" s="46"/>
      <c r="L18" s="46">
        <f>(P18/8)*12</f>
        <v>0</v>
      </c>
      <c r="M18" s="46">
        <f>(Q18/8)*12</f>
        <v>0</v>
      </c>
      <c r="N18" s="46">
        <f t="shared" si="0"/>
        <v>0</v>
      </c>
      <c r="O18" s="45"/>
      <c r="P18" s="46">
        <v>0</v>
      </c>
      <c r="Q18" s="46">
        <v>0</v>
      </c>
      <c r="R18" s="46">
        <v>0</v>
      </c>
      <c r="S18" s="45"/>
      <c r="T18" s="45"/>
      <c r="U18" s="45"/>
      <c r="V18" s="45"/>
      <c r="W18" s="45"/>
      <c r="X18" s="45"/>
      <c r="Y18" s="45"/>
      <c r="Z18" s="45"/>
      <c r="AA18" s="45"/>
      <c r="AB18" s="45">
        <f t="shared" si="3"/>
        <v>0</v>
      </c>
    </row>
    <row r="19" spans="3:28" ht="15">
      <c r="C19" s="34" t="s">
        <v>70</v>
      </c>
      <c r="D19" s="35"/>
      <c r="E19" s="35"/>
      <c r="F19" s="35"/>
      <c r="G19" s="36"/>
      <c r="H19" s="47">
        <f>SUM(H10:H18)</f>
        <v>1699.6502879999998</v>
      </c>
      <c r="I19" s="47"/>
      <c r="J19" s="47">
        <f>SUM(J10:J18)</f>
        <v>117.06708101999999</v>
      </c>
      <c r="K19" s="47"/>
      <c r="L19" s="47">
        <f>SUM(L10:L18)</f>
        <v>42.41123293714286</v>
      </c>
      <c r="M19" s="47">
        <f>SUM(M10:M18)</f>
        <v>0.7752403714285699</v>
      </c>
      <c r="N19" s="47">
        <f>SUM(N10:N18)</f>
        <v>43.18647330857143</v>
      </c>
      <c r="O19" s="45"/>
      <c r="P19" s="47">
        <f>SUM(P10:P18)</f>
        <v>24.73988588</v>
      </c>
      <c r="Q19" s="47">
        <f>SUM(Q10:Q18)</f>
        <v>0.45222354999999903</v>
      </c>
      <c r="R19" s="47">
        <f>SUM(R10:R18)</f>
        <v>25.19210943</v>
      </c>
      <c r="S19" s="45"/>
      <c r="T19" s="45"/>
      <c r="U19" s="45"/>
      <c r="V19" s="45"/>
      <c r="W19" s="45"/>
      <c r="X19" s="45"/>
      <c r="Y19" s="47">
        <f>SUM(Y10:Y18)</f>
        <v>4.6991321600000004</v>
      </c>
      <c r="Z19" s="47">
        <f>SUM(Z10:Z18)</f>
        <v>0</v>
      </c>
      <c r="AA19" s="47">
        <f>SUM(AA10:AA18)</f>
        <v>11.421232739999999</v>
      </c>
      <c r="AB19" s="45">
        <f t="shared" si="3"/>
        <v>16.1203649</v>
      </c>
    </row>
    <row r="20" spans="2:28" ht="15">
      <c r="B20" s="33" t="s">
        <v>71</v>
      </c>
      <c r="D20" s="27"/>
      <c r="E20" s="27"/>
      <c r="F20" s="27"/>
      <c r="G20" s="28"/>
      <c r="H20" s="45"/>
      <c r="I20" s="45"/>
      <c r="J20" s="45"/>
      <c r="K20" s="45"/>
      <c r="L20" s="45"/>
      <c r="M20" s="45"/>
      <c r="N20" s="45"/>
      <c r="O20" s="45"/>
      <c r="P20" s="45"/>
      <c r="Q20" s="45"/>
      <c r="R20" s="45"/>
      <c r="S20" s="45"/>
      <c r="T20" s="45"/>
      <c r="U20" s="45"/>
      <c r="V20" s="45"/>
      <c r="W20" s="45"/>
      <c r="X20" s="45"/>
      <c r="Y20" s="45"/>
      <c r="Z20" s="45"/>
      <c r="AA20" s="45"/>
      <c r="AB20" s="45"/>
    </row>
    <row r="21" spans="3:28" ht="15">
      <c r="C21" s="19" t="s">
        <v>72</v>
      </c>
      <c r="D21" s="27" t="s">
        <v>162</v>
      </c>
      <c r="E21" s="27"/>
      <c r="F21" s="27"/>
      <c r="G21" s="28"/>
      <c r="H21" s="45">
        <v>0</v>
      </c>
      <c r="I21" s="45"/>
      <c r="J21" s="45">
        <v>0</v>
      </c>
      <c r="K21" s="45"/>
      <c r="L21" s="45">
        <f aca="true" t="shared" si="4" ref="L21:L27">(P21/7)*12</f>
        <v>0</v>
      </c>
      <c r="M21" s="45">
        <f aca="true" t="shared" si="5" ref="M21:M27">(Q21/7)*12</f>
        <v>0</v>
      </c>
      <c r="N21" s="45">
        <f aca="true" t="shared" si="6" ref="N21:N27">L21+M21</f>
        <v>0</v>
      </c>
      <c r="O21" s="45"/>
      <c r="P21" s="45">
        <v>0</v>
      </c>
      <c r="Q21" s="45">
        <v>0</v>
      </c>
      <c r="R21" s="45">
        <v>0</v>
      </c>
      <c r="S21" s="45"/>
      <c r="T21" s="45"/>
      <c r="U21" s="45"/>
      <c r="V21" s="45"/>
      <c r="W21" s="45"/>
      <c r="X21" s="45"/>
      <c r="Y21" s="45">
        <v>0</v>
      </c>
      <c r="Z21" s="45">
        <v>0</v>
      </c>
      <c r="AA21" s="45">
        <v>0</v>
      </c>
      <c r="AB21" s="45">
        <f t="shared" si="3"/>
        <v>0</v>
      </c>
    </row>
    <row r="22" spans="3:28" ht="15">
      <c r="C22" s="19" t="s">
        <v>73</v>
      </c>
      <c r="D22" s="27" t="s">
        <v>161</v>
      </c>
      <c r="E22" s="27"/>
      <c r="F22" s="27"/>
      <c r="G22" s="28"/>
      <c r="H22" s="45">
        <v>0</v>
      </c>
      <c r="I22" s="45"/>
      <c r="J22" s="45">
        <v>23.915407</v>
      </c>
      <c r="K22" s="45"/>
      <c r="L22" s="45">
        <f t="shared" si="4"/>
        <v>0</v>
      </c>
      <c r="M22" s="45">
        <f t="shared" si="5"/>
        <v>0.14926971428571428</v>
      </c>
      <c r="N22" s="45">
        <f t="shared" si="6"/>
        <v>0.14926971428571428</v>
      </c>
      <c r="O22" s="45"/>
      <c r="P22" s="45">
        <v>0</v>
      </c>
      <c r="Q22" s="45">
        <v>0.087074</v>
      </c>
      <c r="R22" s="45">
        <v>0.087074</v>
      </c>
      <c r="S22" s="45"/>
      <c r="T22" s="45"/>
      <c r="U22" s="45"/>
      <c r="V22" s="45"/>
      <c r="W22" s="45"/>
      <c r="X22" s="45"/>
      <c r="Y22" s="45">
        <v>0</v>
      </c>
      <c r="Z22" s="45">
        <v>0</v>
      </c>
      <c r="AA22" s="45">
        <v>0</v>
      </c>
      <c r="AB22" s="45">
        <f t="shared" si="3"/>
        <v>0</v>
      </c>
    </row>
    <row r="23" spans="3:28" ht="15">
      <c r="C23" s="19" t="s">
        <v>74</v>
      </c>
      <c r="D23" s="27" t="s">
        <v>162</v>
      </c>
      <c r="E23" s="27"/>
      <c r="F23" s="27"/>
      <c r="G23" s="28"/>
      <c r="H23" s="45">
        <v>0</v>
      </c>
      <c r="I23" s="45"/>
      <c r="J23" s="45">
        <v>0.32093063</v>
      </c>
      <c r="K23" s="45"/>
      <c r="L23" s="45">
        <f t="shared" si="4"/>
        <v>0</v>
      </c>
      <c r="M23" s="45">
        <f t="shared" si="5"/>
        <v>0.3891721542857143</v>
      </c>
      <c r="N23" s="45">
        <f t="shared" si="6"/>
        <v>0.3891721542857143</v>
      </c>
      <c r="O23" s="45"/>
      <c r="P23" s="45">
        <v>0</v>
      </c>
      <c r="Q23" s="45">
        <v>0.22701709</v>
      </c>
      <c r="R23" s="45">
        <v>0.22701709</v>
      </c>
      <c r="S23" s="45"/>
      <c r="T23" s="45"/>
      <c r="U23" s="45"/>
      <c r="V23" s="45"/>
      <c r="W23" s="45"/>
      <c r="X23" s="45"/>
      <c r="Y23" s="45">
        <v>0</v>
      </c>
      <c r="Z23" s="45">
        <v>0</v>
      </c>
      <c r="AA23" s="45">
        <v>0</v>
      </c>
      <c r="AB23" s="45">
        <f t="shared" si="3"/>
        <v>0</v>
      </c>
    </row>
    <row r="24" spans="3:28" ht="15">
      <c r="C24" s="19" t="s">
        <v>75</v>
      </c>
      <c r="D24" s="27" t="s">
        <v>161</v>
      </c>
      <c r="E24" s="27"/>
      <c r="F24" s="27"/>
      <c r="G24" s="28"/>
      <c r="H24" s="45">
        <v>0</v>
      </c>
      <c r="I24" s="45"/>
      <c r="J24" s="45">
        <v>11.58168</v>
      </c>
      <c r="K24" s="45"/>
      <c r="L24" s="45">
        <f t="shared" si="4"/>
        <v>0</v>
      </c>
      <c r="M24" s="45">
        <f t="shared" si="5"/>
        <v>-0.040674857142857165</v>
      </c>
      <c r="N24" s="45">
        <f t="shared" si="6"/>
        <v>-0.040674857142857165</v>
      </c>
      <c r="O24" s="45"/>
      <c r="P24" s="45">
        <v>0</v>
      </c>
      <c r="Q24" s="45">
        <v>-0.023727000000000012</v>
      </c>
      <c r="R24" s="45">
        <v>-0.023727000000000012</v>
      </c>
      <c r="S24" s="45"/>
      <c r="T24" s="45"/>
      <c r="U24" s="45"/>
      <c r="V24" s="45"/>
      <c r="W24" s="45"/>
      <c r="X24" s="45"/>
      <c r="Y24" s="45">
        <v>0</v>
      </c>
      <c r="Z24" s="45">
        <v>0</v>
      </c>
      <c r="AA24" s="45">
        <v>0</v>
      </c>
      <c r="AB24" s="45">
        <f t="shared" si="3"/>
        <v>0</v>
      </c>
    </row>
    <row r="25" spans="3:28" ht="15">
      <c r="C25" s="19" t="s">
        <v>76</v>
      </c>
      <c r="D25" s="27" t="s">
        <v>162</v>
      </c>
      <c r="E25" s="27"/>
      <c r="F25" s="27"/>
      <c r="G25" s="28"/>
      <c r="H25" s="45">
        <v>0</v>
      </c>
      <c r="I25" s="45"/>
      <c r="J25" s="45">
        <v>0.22702764</v>
      </c>
      <c r="K25" s="45"/>
      <c r="L25" s="45">
        <f t="shared" si="4"/>
        <v>0</v>
      </c>
      <c r="M25" s="45">
        <f t="shared" si="5"/>
        <v>0</v>
      </c>
      <c r="N25" s="45">
        <f t="shared" si="6"/>
        <v>0</v>
      </c>
      <c r="O25" s="45"/>
      <c r="P25" s="45">
        <v>0</v>
      </c>
      <c r="Q25" s="45">
        <v>0</v>
      </c>
      <c r="R25" s="45">
        <v>0</v>
      </c>
      <c r="S25" s="45"/>
      <c r="T25" s="45"/>
      <c r="U25" s="45"/>
      <c r="V25" s="45"/>
      <c r="W25" s="45"/>
      <c r="X25" s="45"/>
      <c r="Y25" s="45">
        <v>0</v>
      </c>
      <c r="Z25" s="45">
        <v>0</v>
      </c>
      <c r="AA25" s="45">
        <v>0</v>
      </c>
      <c r="AB25" s="45">
        <f t="shared" si="3"/>
        <v>0</v>
      </c>
    </row>
    <row r="26" spans="3:28" ht="15">
      <c r="C26" s="19" t="s">
        <v>77</v>
      </c>
      <c r="D26" s="27" t="s">
        <v>161</v>
      </c>
      <c r="E26" s="27"/>
      <c r="F26" s="27"/>
      <c r="G26" s="28"/>
      <c r="H26" s="45">
        <v>0</v>
      </c>
      <c r="I26" s="45"/>
      <c r="J26" s="45">
        <v>8.593439290000001</v>
      </c>
      <c r="K26" s="45"/>
      <c r="L26" s="45">
        <f t="shared" si="4"/>
        <v>0</v>
      </c>
      <c r="M26" s="45">
        <f t="shared" si="5"/>
        <v>0.3035434285714286</v>
      </c>
      <c r="N26" s="45">
        <f t="shared" si="6"/>
        <v>0.3035434285714286</v>
      </c>
      <c r="O26" s="45"/>
      <c r="P26" s="45">
        <v>0</v>
      </c>
      <c r="Q26" s="45">
        <v>0.177067</v>
      </c>
      <c r="R26" s="45">
        <v>0.177067</v>
      </c>
      <c r="S26" s="45"/>
      <c r="T26" s="45"/>
      <c r="U26" s="45"/>
      <c r="V26" s="45"/>
      <c r="W26" s="45"/>
      <c r="X26" s="45"/>
      <c r="Y26" s="45">
        <v>0</v>
      </c>
      <c r="Z26" s="45">
        <v>0</v>
      </c>
      <c r="AA26" s="45">
        <v>0</v>
      </c>
      <c r="AB26" s="45">
        <f t="shared" si="3"/>
        <v>0</v>
      </c>
    </row>
    <row r="27" spans="3:28" ht="15">
      <c r="C27" s="19" t="s">
        <v>78</v>
      </c>
      <c r="D27" s="27" t="s">
        <v>162</v>
      </c>
      <c r="E27" s="27"/>
      <c r="F27" s="27"/>
      <c r="G27" s="28"/>
      <c r="H27" s="46">
        <v>0</v>
      </c>
      <c r="I27" s="46"/>
      <c r="J27" s="46">
        <v>4.999998639999999</v>
      </c>
      <c r="K27" s="46"/>
      <c r="L27" s="46">
        <f t="shared" si="4"/>
        <v>0</v>
      </c>
      <c r="M27" s="46">
        <f t="shared" si="5"/>
        <v>2.6421531428571434</v>
      </c>
      <c r="N27" s="46">
        <f t="shared" si="6"/>
        <v>2.6421531428571434</v>
      </c>
      <c r="O27" s="45"/>
      <c r="P27" s="46">
        <v>0</v>
      </c>
      <c r="Q27" s="46">
        <v>1.5412560000000002</v>
      </c>
      <c r="R27" s="46">
        <v>1.5412560000000002</v>
      </c>
      <c r="S27" s="45"/>
      <c r="T27" s="45"/>
      <c r="U27" s="45"/>
      <c r="V27" s="45"/>
      <c r="W27" s="45"/>
      <c r="X27" s="45"/>
      <c r="Y27" s="46">
        <v>0</v>
      </c>
      <c r="Z27" s="46">
        <v>0</v>
      </c>
      <c r="AA27" s="46">
        <v>0</v>
      </c>
      <c r="AB27" s="46">
        <f t="shared" si="3"/>
        <v>0</v>
      </c>
    </row>
    <row r="28" spans="3:28" ht="15">
      <c r="C28" s="34" t="s">
        <v>79</v>
      </c>
      <c r="D28" s="35"/>
      <c r="E28" s="35"/>
      <c r="F28" s="35"/>
      <c r="G28" s="36"/>
      <c r="H28" s="47">
        <f>SUM(H21:H27)</f>
        <v>0</v>
      </c>
      <c r="I28" s="47"/>
      <c r="J28" s="47">
        <f>SUM(J20:J27)</f>
        <v>49.6384832</v>
      </c>
      <c r="K28" s="47"/>
      <c r="L28" s="47">
        <f>SUM(L20:L27)</f>
        <v>0</v>
      </c>
      <c r="M28" s="47">
        <f>SUM(M20:M27)</f>
        <v>3.4434635828571434</v>
      </c>
      <c r="N28" s="47">
        <f>SUM(N20:N27)</f>
        <v>3.4434635828571434</v>
      </c>
      <c r="O28" s="45"/>
      <c r="P28" s="47">
        <f>SUM(P20:P27)</f>
        <v>0</v>
      </c>
      <c r="Q28" s="47">
        <f>SUM(Q20:Q27)</f>
        <v>2.0086870900000005</v>
      </c>
      <c r="R28" s="47">
        <f>SUM(R20:R27)</f>
        <v>2.0086870900000005</v>
      </c>
      <c r="S28" s="45"/>
      <c r="T28" s="45"/>
      <c r="U28" s="45"/>
      <c r="V28" s="45"/>
      <c r="W28" s="45"/>
      <c r="X28" s="45"/>
      <c r="Y28" s="45">
        <f>SUM(Y20:Y27)</f>
        <v>0</v>
      </c>
      <c r="Z28" s="45">
        <f>SUM(Z20:Z27)</f>
        <v>0</v>
      </c>
      <c r="AA28" s="45">
        <f>SUM(AA20:AA27)</f>
        <v>0</v>
      </c>
      <c r="AB28" s="45">
        <f>SUM(AB20:AB27)</f>
        <v>0</v>
      </c>
    </row>
    <row r="29" spans="2:28" ht="15">
      <c r="B29" s="33" t="s">
        <v>80</v>
      </c>
      <c r="D29" s="27"/>
      <c r="E29" s="27"/>
      <c r="F29" s="27"/>
      <c r="G29" s="28"/>
      <c r="H29" s="45"/>
      <c r="I29" s="45"/>
      <c r="J29" s="45"/>
      <c r="K29" s="45"/>
      <c r="L29" s="45"/>
      <c r="M29" s="45"/>
      <c r="N29" s="45"/>
      <c r="O29" s="45"/>
      <c r="P29" s="45"/>
      <c r="Q29" s="45"/>
      <c r="R29" s="45"/>
      <c r="S29" s="45"/>
      <c r="T29" s="45"/>
      <c r="U29" s="45"/>
      <c r="V29" s="45"/>
      <c r="W29" s="45"/>
      <c r="X29" s="45"/>
      <c r="Y29" s="45"/>
      <c r="Z29" s="45"/>
      <c r="AA29" s="45"/>
      <c r="AB29" s="45"/>
    </row>
    <row r="30" spans="3:28" ht="15">
      <c r="C30" s="19" t="s">
        <v>81</v>
      </c>
      <c r="D30" s="27" t="s">
        <v>159</v>
      </c>
      <c r="E30" s="27"/>
      <c r="F30" s="27"/>
      <c r="G30" s="28"/>
      <c r="H30" s="45">
        <v>8.987575999999999</v>
      </c>
      <c r="I30" s="45"/>
      <c r="J30" s="45">
        <v>0.52889611</v>
      </c>
      <c r="K30" s="45"/>
      <c r="L30" s="45">
        <f aca="true" t="shared" si="7" ref="L30:M33">(P30/7)*12</f>
        <v>0.3735456857142857</v>
      </c>
      <c r="M30" s="45">
        <f t="shared" si="7"/>
        <v>0.07024407428571428</v>
      </c>
      <c r="N30" s="45">
        <f>L30+M30</f>
        <v>0.44378976</v>
      </c>
      <c r="O30" s="45"/>
      <c r="P30" s="45">
        <v>0.21790165</v>
      </c>
      <c r="Q30" s="45">
        <v>0.04097571</v>
      </c>
      <c r="R30" s="45">
        <v>0.25887736</v>
      </c>
      <c r="S30" s="45"/>
      <c r="T30" s="45"/>
      <c r="U30" s="45"/>
      <c r="V30" s="45"/>
      <c r="W30" s="45"/>
      <c r="X30" s="45"/>
      <c r="Y30" s="45">
        <v>1.13E-06</v>
      </c>
      <c r="Z30" s="45">
        <v>0</v>
      </c>
      <c r="AA30" s="45">
        <v>0.38986611000000004</v>
      </c>
      <c r="AB30" s="45">
        <f t="shared" si="3"/>
        <v>0.38986724000000006</v>
      </c>
    </row>
    <row r="31" spans="3:28" ht="15">
      <c r="C31" s="19" t="s">
        <v>201</v>
      </c>
      <c r="D31" s="27" t="s">
        <v>159</v>
      </c>
      <c r="E31" s="27"/>
      <c r="F31" s="27"/>
      <c r="G31" s="28"/>
      <c r="H31" s="45">
        <v>193.281243</v>
      </c>
      <c r="I31" s="45"/>
      <c r="J31" s="45">
        <v>0.04668029</v>
      </c>
      <c r="K31" s="45"/>
      <c r="L31" s="45">
        <f t="shared" si="7"/>
        <v>2.9000622857142857</v>
      </c>
      <c r="M31" s="45">
        <f t="shared" si="7"/>
        <v>0</v>
      </c>
      <c r="N31" s="45">
        <f>L31+M31</f>
        <v>2.9000622857142857</v>
      </c>
      <c r="O31" s="45"/>
      <c r="P31" s="45">
        <v>1.691703</v>
      </c>
      <c r="Q31" s="45">
        <v>0</v>
      </c>
      <c r="R31" s="45">
        <v>1.691703</v>
      </c>
      <c r="S31" s="45"/>
      <c r="T31" s="45"/>
      <c r="U31" s="45"/>
      <c r="V31" s="45"/>
      <c r="W31" s="45"/>
      <c r="X31" s="45"/>
      <c r="Y31" s="45">
        <v>0.62299779</v>
      </c>
      <c r="Z31" s="45">
        <v>0</v>
      </c>
      <c r="AA31" s="45">
        <v>2.48446105</v>
      </c>
      <c r="AB31" s="45">
        <f t="shared" si="3"/>
        <v>3.10745884</v>
      </c>
    </row>
    <row r="32" spans="3:28" ht="15">
      <c r="C32" s="19" t="s">
        <v>82</v>
      </c>
      <c r="D32" s="27" t="s">
        <v>159</v>
      </c>
      <c r="E32" s="27"/>
      <c r="F32" s="27"/>
      <c r="G32" s="28"/>
      <c r="H32" s="45">
        <v>0</v>
      </c>
      <c r="I32" s="45"/>
      <c r="J32" s="45">
        <v>0.02463566</v>
      </c>
      <c r="K32" s="45"/>
      <c r="L32" s="45">
        <f t="shared" si="7"/>
        <v>0</v>
      </c>
      <c r="M32" s="45">
        <f t="shared" si="7"/>
        <v>0</v>
      </c>
      <c r="N32" s="45">
        <f>L32+M32</f>
        <v>0</v>
      </c>
      <c r="O32" s="45"/>
      <c r="P32" s="45">
        <v>0</v>
      </c>
      <c r="Q32" s="45">
        <v>0</v>
      </c>
      <c r="R32" s="45">
        <v>0</v>
      </c>
      <c r="S32" s="45"/>
      <c r="T32" s="45"/>
      <c r="U32" s="45"/>
      <c r="V32" s="45"/>
      <c r="W32" s="45"/>
      <c r="X32" s="45"/>
      <c r="Y32" s="45">
        <v>0</v>
      </c>
      <c r="Z32" s="45">
        <v>0</v>
      </c>
      <c r="AA32" s="45">
        <v>0.018476069999999997</v>
      </c>
      <c r="AB32" s="45">
        <f t="shared" si="3"/>
        <v>0.018476069999999997</v>
      </c>
    </row>
    <row r="33" spans="3:28" ht="15">
      <c r="C33" s="19" t="s">
        <v>83</v>
      </c>
      <c r="D33" s="27" t="s">
        <v>159</v>
      </c>
      <c r="E33" s="27"/>
      <c r="F33" s="27"/>
      <c r="G33" s="28"/>
      <c r="H33" s="46">
        <v>0</v>
      </c>
      <c r="I33" s="46"/>
      <c r="J33" s="46">
        <v>0</v>
      </c>
      <c r="K33" s="46"/>
      <c r="L33" s="46">
        <f t="shared" si="7"/>
        <v>0</v>
      </c>
      <c r="M33" s="46">
        <f t="shared" si="7"/>
        <v>0</v>
      </c>
      <c r="N33" s="46">
        <f>L33+M33</f>
        <v>0</v>
      </c>
      <c r="O33" s="45"/>
      <c r="P33" s="46">
        <v>0</v>
      </c>
      <c r="Q33" s="46">
        <v>0</v>
      </c>
      <c r="R33" s="46">
        <v>0</v>
      </c>
      <c r="S33" s="45"/>
      <c r="T33" s="45"/>
      <c r="U33" s="45"/>
      <c r="V33" s="45"/>
      <c r="W33" s="45"/>
      <c r="X33" s="45"/>
      <c r="Y33" s="46">
        <v>0.09663905</v>
      </c>
      <c r="Z33" s="46">
        <v>0</v>
      </c>
      <c r="AA33" s="46">
        <v>0.6208984200000001</v>
      </c>
      <c r="AB33" s="46">
        <f t="shared" si="3"/>
        <v>0.7175374700000001</v>
      </c>
    </row>
    <row r="34" spans="3:28" ht="15">
      <c r="C34" s="34" t="s">
        <v>84</v>
      </c>
      <c r="D34" s="35"/>
      <c r="E34" s="35"/>
      <c r="F34" s="35"/>
      <c r="G34" s="36"/>
      <c r="H34" s="47">
        <f>SUM(H30:H33)</f>
        <v>202.26881899999998</v>
      </c>
      <c r="I34" s="47"/>
      <c r="J34" s="47">
        <f>SUM(J30:J33)</f>
        <v>0.6002120599999999</v>
      </c>
      <c r="K34" s="47"/>
      <c r="L34" s="47">
        <f>SUM(L30:L33)</f>
        <v>3.2736079714285715</v>
      </c>
      <c r="M34" s="47">
        <f>SUM(M30:M33)</f>
        <v>0.07024407428571428</v>
      </c>
      <c r="N34" s="47">
        <f>SUM(N30:N33)</f>
        <v>3.3438520457142857</v>
      </c>
      <c r="O34" s="45"/>
      <c r="P34" s="47">
        <f>SUM(P30:P33)</f>
        <v>1.90960465</v>
      </c>
      <c r="Q34" s="47">
        <f>SUM(Q30:Q33)</f>
        <v>0.04097571</v>
      </c>
      <c r="R34" s="47">
        <f>SUM(R30:R33)</f>
        <v>1.95058036</v>
      </c>
      <c r="S34" s="45"/>
      <c r="T34" s="45"/>
      <c r="U34" s="45"/>
      <c r="V34" s="45"/>
      <c r="W34" s="45"/>
      <c r="X34" s="45"/>
      <c r="Y34" s="47">
        <f>SUM(Y30:Y33)</f>
        <v>0.71963797</v>
      </c>
      <c r="Z34" s="47">
        <f>SUM(Z30:Z33)</f>
        <v>0</v>
      </c>
      <c r="AA34" s="47">
        <f>SUM(AA30:AA33)</f>
        <v>3.5137016500000002</v>
      </c>
      <c r="AB34" s="47">
        <f>SUM(AB30:AB33)</f>
        <v>4.233339620000001</v>
      </c>
    </row>
    <row r="35" spans="2:28" ht="15">
      <c r="B35" s="33" t="s">
        <v>85</v>
      </c>
      <c r="D35" s="27"/>
      <c r="E35" s="27"/>
      <c r="F35" s="27"/>
      <c r="G35" s="28"/>
      <c r="H35" s="45"/>
      <c r="I35" s="45"/>
      <c r="J35" s="45"/>
      <c r="K35" s="45"/>
      <c r="L35" s="45"/>
      <c r="M35" s="45"/>
      <c r="N35" s="45"/>
      <c r="O35" s="45"/>
      <c r="P35" s="45"/>
      <c r="Q35" s="45"/>
      <c r="R35" s="45"/>
      <c r="S35" s="45"/>
      <c r="T35" s="45"/>
      <c r="U35" s="45"/>
      <c r="V35" s="45"/>
      <c r="W35" s="45"/>
      <c r="X35" s="45"/>
      <c r="Y35" s="45"/>
      <c r="Z35" s="45"/>
      <c r="AA35" s="45"/>
      <c r="AB35" s="45"/>
    </row>
    <row r="36" spans="3:28" ht="15">
      <c r="C36" s="19" t="s">
        <v>86</v>
      </c>
      <c r="D36" s="27" t="s">
        <v>159</v>
      </c>
      <c r="E36" s="27"/>
      <c r="F36" s="27"/>
      <c r="G36" s="28"/>
      <c r="H36" s="46">
        <v>0</v>
      </c>
      <c r="I36" s="46"/>
      <c r="J36" s="46">
        <v>2.49752097</v>
      </c>
      <c r="K36" s="46"/>
      <c r="L36" s="46">
        <f>(P36/7)*12</f>
        <v>0</v>
      </c>
      <c r="M36" s="46">
        <f>(Q36/7)*12</f>
        <v>0</v>
      </c>
      <c r="N36" s="46">
        <f>L36+M36</f>
        <v>0</v>
      </c>
      <c r="O36" s="45"/>
      <c r="P36" s="46">
        <v>0</v>
      </c>
      <c r="Q36" s="46">
        <v>0</v>
      </c>
      <c r="R36" s="46">
        <v>0</v>
      </c>
      <c r="S36" s="45"/>
      <c r="T36" s="45"/>
      <c r="U36" s="45"/>
      <c r="V36" s="45"/>
      <c r="W36" s="45"/>
      <c r="X36" s="45"/>
      <c r="Y36" s="46">
        <v>0</v>
      </c>
      <c r="Z36" s="46">
        <v>0</v>
      </c>
      <c r="AA36" s="46">
        <v>0</v>
      </c>
      <c r="AB36" s="46">
        <f t="shared" si="3"/>
        <v>0</v>
      </c>
    </row>
    <row r="37" spans="3:28" ht="15">
      <c r="C37" s="34" t="s">
        <v>87</v>
      </c>
      <c r="D37" s="35"/>
      <c r="E37" s="35"/>
      <c r="F37" s="35"/>
      <c r="G37" s="36"/>
      <c r="H37" s="47">
        <f>SUM(H36)</f>
        <v>0</v>
      </c>
      <c r="I37" s="47"/>
      <c r="J37" s="47">
        <f>SUM(J36)</f>
        <v>2.49752097</v>
      </c>
      <c r="K37" s="47"/>
      <c r="L37" s="47">
        <f>SUM(L36)</f>
        <v>0</v>
      </c>
      <c r="M37" s="47">
        <f>SUM(M36)</f>
        <v>0</v>
      </c>
      <c r="N37" s="47">
        <f>SUM(N36)</f>
        <v>0</v>
      </c>
      <c r="O37" s="45"/>
      <c r="P37" s="47">
        <f>SUM(P36)</f>
        <v>0</v>
      </c>
      <c r="Q37" s="47">
        <f>SUM(Q36)</f>
        <v>0</v>
      </c>
      <c r="R37" s="47">
        <f>SUM(R36)</f>
        <v>0</v>
      </c>
      <c r="S37" s="45"/>
      <c r="T37" s="45"/>
      <c r="U37" s="45"/>
      <c r="V37" s="45"/>
      <c r="W37" s="45"/>
      <c r="X37" s="45"/>
      <c r="Y37" s="45">
        <f>SUM(Y36)</f>
        <v>0</v>
      </c>
      <c r="Z37" s="45">
        <f>SUM(Z36)</f>
        <v>0</v>
      </c>
      <c r="AA37" s="45">
        <f>SUM(AA36)</f>
        <v>0</v>
      </c>
      <c r="AB37" s="45">
        <f t="shared" si="3"/>
        <v>0</v>
      </c>
    </row>
    <row r="38" spans="4:28" ht="6.75" customHeight="1">
      <c r="D38" s="27"/>
      <c r="E38" s="27"/>
      <c r="F38" s="27"/>
      <c r="G38" s="28"/>
      <c r="H38" s="46"/>
      <c r="I38" s="46"/>
      <c r="J38" s="46"/>
      <c r="K38" s="46"/>
      <c r="L38" s="46"/>
      <c r="M38" s="46"/>
      <c r="N38" s="46"/>
      <c r="O38" s="45"/>
      <c r="P38" s="46"/>
      <c r="Q38" s="46"/>
      <c r="R38" s="46"/>
      <c r="S38" s="45"/>
      <c r="T38" s="45"/>
      <c r="U38" s="45"/>
      <c r="V38" s="45"/>
      <c r="W38" s="45"/>
      <c r="X38" s="45"/>
      <c r="Y38" s="46"/>
      <c r="Z38" s="46"/>
      <c r="AA38" s="46"/>
      <c r="AB38" s="46"/>
    </row>
    <row r="39" spans="3:28" ht="15">
      <c r="C39" s="37" t="s">
        <v>88</v>
      </c>
      <c r="D39" s="27"/>
      <c r="E39" s="27"/>
      <c r="F39" s="27"/>
      <c r="G39" s="28"/>
      <c r="H39" s="48">
        <f>H37+H34+H28+H19</f>
        <v>1901.9191069999997</v>
      </c>
      <c r="I39" s="48"/>
      <c r="J39" s="48">
        <f>J37+J34+J28+J19</f>
        <v>169.80329724999999</v>
      </c>
      <c r="K39" s="48"/>
      <c r="L39" s="48">
        <f>L37+L34+L28+L19</f>
        <v>45.68484090857143</v>
      </c>
      <c r="M39" s="48">
        <f>M37+M34+M28+M19</f>
        <v>4.288948028571427</v>
      </c>
      <c r="N39" s="48">
        <f>N37+N34+N28+N19</f>
        <v>49.97378893714286</v>
      </c>
      <c r="O39" s="45"/>
      <c r="P39" s="48">
        <f>P37+P34+P28+P19</f>
        <v>26.649490529999998</v>
      </c>
      <c r="Q39" s="48">
        <f>Q37+Q34+Q28+Q19</f>
        <v>2.5018863499999995</v>
      </c>
      <c r="R39" s="48">
        <f>R37+R34+R28+R19</f>
        <v>29.15137688</v>
      </c>
      <c r="S39" s="45"/>
      <c r="T39" s="45"/>
      <c r="U39" s="45"/>
      <c r="V39" s="45"/>
      <c r="W39" s="45"/>
      <c r="X39" s="45"/>
      <c r="Y39" s="48">
        <f>Y37+Y34+Y28+Y19</f>
        <v>5.41877013</v>
      </c>
      <c r="Z39" s="48">
        <f>Z37+Z34+Z28+Z19</f>
        <v>0</v>
      </c>
      <c r="AA39" s="48">
        <f>AA37+AA34+AA28+AA19</f>
        <v>14.934934389999999</v>
      </c>
      <c r="AB39" s="48">
        <f>AB37+AB34+AB28+AB19</f>
        <v>20.35370452</v>
      </c>
    </row>
    <row r="40" spans="3:28" ht="15">
      <c r="C40" s="37"/>
      <c r="D40" s="27"/>
      <c r="E40" s="27"/>
      <c r="F40" s="27"/>
      <c r="G40" s="28"/>
      <c r="H40" s="48"/>
      <c r="I40" s="48"/>
      <c r="J40" s="48"/>
      <c r="K40" s="48"/>
      <c r="L40" s="48"/>
      <c r="M40" s="48"/>
      <c r="N40" s="48"/>
      <c r="O40" s="45"/>
      <c r="P40" s="48"/>
      <c r="Q40" s="48"/>
      <c r="R40" s="48"/>
      <c r="S40" s="45"/>
      <c r="T40" s="45"/>
      <c r="U40" s="45"/>
      <c r="V40" s="45"/>
      <c r="W40" s="45"/>
      <c r="X40" s="45"/>
      <c r="Y40" s="48"/>
      <c r="Z40" s="48"/>
      <c r="AA40" s="48"/>
      <c r="AB40" s="48"/>
    </row>
    <row r="41" spans="3:28" ht="15.75">
      <c r="C41" s="54" t="s">
        <v>202</v>
      </c>
      <c r="D41" s="27"/>
      <c r="E41" s="27"/>
      <c r="F41" s="27"/>
      <c r="G41" s="28"/>
      <c r="H41" s="48"/>
      <c r="I41" s="48"/>
      <c r="J41" s="48"/>
      <c r="K41" s="48"/>
      <c r="L41" s="48"/>
      <c r="M41" s="48"/>
      <c r="N41" s="48"/>
      <c r="O41" s="45"/>
      <c r="P41" s="48"/>
      <c r="Q41" s="48"/>
      <c r="R41" s="48"/>
      <c r="S41" s="45"/>
      <c r="T41" s="45"/>
      <c r="U41" s="45"/>
      <c r="V41" s="45"/>
      <c r="W41" s="45"/>
      <c r="X41" s="45"/>
      <c r="Y41" s="48"/>
      <c r="Z41" s="48"/>
      <c r="AA41" s="48"/>
      <c r="AB41" s="48"/>
    </row>
    <row r="42" spans="4:28" ht="3.75" customHeight="1">
      <c r="D42" s="27"/>
      <c r="E42" s="27"/>
      <c r="F42" s="27"/>
      <c r="G42" s="28"/>
      <c r="H42" s="45"/>
      <c r="I42" s="45"/>
      <c r="J42" s="45"/>
      <c r="K42" s="45"/>
      <c r="L42" s="45"/>
      <c r="M42" s="45"/>
      <c r="N42" s="45"/>
      <c r="O42" s="45"/>
      <c r="P42" s="45"/>
      <c r="Q42" s="45"/>
      <c r="R42" s="45"/>
      <c r="S42" s="45"/>
      <c r="T42" s="45"/>
      <c r="U42" s="45"/>
      <c r="V42" s="45"/>
      <c r="W42" s="45"/>
      <c r="X42" s="45"/>
      <c r="Y42" s="45"/>
      <c r="Z42" s="45"/>
      <c r="AA42" s="45"/>
      <c r="AB42" s="45"/>
    </row>
    <row r="43" spans="1:28" ht="15">
      <c r="A43" s="29" t="s">
        <v>89</v>
      </c>
      <c r="B43" s="30"/>
      <c r="C43" s="30"/>
      <c r="D43" s="31"/>
      <c r="E43" s="31"/>
      <c r="F43" s="31"/>
      <c r="G43" s="32"/>
      <c r="H43" s="49"/>
      <c r="I43" s="49"/>
      <c r="J43" s="49"/>
      <c r="K43" s="49"/>
      <c r="L43" s="49"/>
      <c r="M43" s="49"/>
      <c r="N43" s="49"/>
      <c r="O43" s="50"/>
      <c r="P43" s="49"/>
      <c r="Q43" s="49"/>
      <c r="R43" s="49"/>
      <c r="S43" s="49"/>
      <c r="T43" s="49"/>
      <c r="U43" s="49"/>
      <c r="V43" s="49"/>
      <c r="W43" s="49"/>
      <c r="X43" s="49"/>
      <c r="Y43" s="49"/>
      <c r="Z43" s="49"/>
      <c r="AA43" s="49"/>
      <c r="AB43" s="49"/>
    </row>
    <row r="44" spans="2:28" ht="15">
      <c r="B44" s="33" t="s">
        <v>90</v>
      </c>
      <c r="D44" s="27"/>
      <c r="E44" s="27"/>
      <c r="F44" s="27"/>
      <c r="G44" s="28"/>
      <c r="H44" s="45"/>
      <c r="I44" s="45"/>
      <c r="J44" s="45"/>
      <c r="K44" s="45"/>
      <c r="L44" s="45"/>
      <c r="M44" s="45"/>
      <c r="N44" s="45"/>
      <c r="O44" s="45"/>
      <c r="P44" s="45"/>
      <c r="Q44" s="45"/>
      <c r="R44" s="45"/>
      <c r="S44" s="45"/>
      <c r="T44" s="45"/>
      <c r="U44" s="45"/>
      <c r="V44" s="45"/>
      <c r="W44" s="45"/>
      <c r="X44" s="45"/>
      <c r="Y44" s="45"/>
      <c r="Z44" s="45"/>
      <c r="AA44" s="45"/>
      <c r="AB44" s="45"/>
    </row>
    <row r="45" spans="3:28" ht="15">
      <c r="C45" s="19" t="s">
        <v>91</v>
      </c>
      <c r="D45" s="27" t="s">
        <v>194</v>
      </c>
      <c r="E45" s="27"/>
      <c r="F45" s="27"/>
      <c r="G45" s="28"/>
      <c r="H45" s="45">
        <v>273.61360235</v>
      </c>
      <c r="I45" s="45"/>
      <c r="J45" s="45">
        <v>10.196371059999999</v>
      </c>
      <c r="K45" s="45"/>
      <c r="L45" s="45">
        <f aca="true" t="shared" si="8" ref="L45:M48">(P45/7)*12</f>
        <v>1.7966351142857144</v>
      </c>
      <c r="M45" s="45">
        <f t="shared" si="8"/>
        <v>2.060125508571428</v>
      </c>
      <c r="N45" s="45">
        <f>L45+M45</f>
        <v>3.8567606228571423</v>
      </c>
      <c r="O45" s="45"/>
      <c r="P45" s="45">
        <v>1.04803715</v>
      </c>
      <c r="Q45" s="45">
        <v>1.2017398799999996</v>
      </c>
      <c r="R45" s="45">
        <v>2.2497770299999997</v>
      </c>
      <c r="S45" s="45"/>
      <c r="T45" s="45"/>
      <c r="U45" s="45"/>
      <c r="V45" s="45"/>
      <c r="W45" s="45"/>
      <c r="X45" s="45"/>
      <c r="Y45" s="45">
        <v>0.50861166</v>
      </c>
      <c r="Z45" s="45">
        <v>0</v>
      </c>
      <c r="AA45" s="45">
        <v>0.47747210999999995</v>
      </c>
      <c r="AB45" s="45">
        <f>SUM(Y45:AA45)</f>
        <v>0.98608377</v>
      </c>
    </row>
    <row r="46" spans="3:28" ht="15">
      <c r="C46" s="19" t="s">
        <v>92</v>
      </c>
      <c r="D46" s="27" t="s">
        <v>194</v>
      </c>
      <c r="E46" s="27"/>
      <c r="F46" s="27"/>
      <c r="G46" s="28"/>
      <c r="H46" s="45">
        <v>118.62643</v>
      </c>
      <c r="I46" s="45"/>
      <c r="J46" s="45">
        <v>13.662872</v>
      </c>
      <c r="K46" s="45"/>
      <c r="L46" s="45">
        <f t="shared" si="8"/>
        <v>1.0023925714285715</v>
      </c>
      <c r="M46" s="45">
        <f t="shared" si="8"/>
        <v>0</v>
      </c>
      <c r="N46" s="45">
        <f>L46+M46</f>
        <v>1.0023925714285715</v>
      </c>
      <c r="O46" s="45"/>
      <c r="P46" s="45">
        <v>0.584729</v>
      </c>
      <c r="Q46" s="45">
        <v>0</v>
      </c>
      <c r="R46" s="45">
        <v>0.584729</v>
      </c>
      <c r="S46" s="45"/>
      <c r="T46" s="45"/>
      <c r="U46" s="45"/>
      <c r="V46" s="45"/>
      <c r="W46" s="45"/>
      <c r="X46" s="45"/>
      <c r="Y46" s="45">
        <v>0</v>
      </c>
      <c r="Z46" s="45">
        <v>0</v>
      </c>
      <c r="AA46" s="45">
        <v>0.22000860999999994</v>
      </c>
      <c r="AB46" s="45">
        <f>SUM(Y46:AA46)</f>
        <v>0.22000860999999994</v>
      </c>
    </row>
    <row r="47" spans="3:28" ht="15">
      <c r="C47" s="19" t="s">
        <v>93</v>
      </c>
      <c r="D47" s="27" t="s">
        <v>159</v>
      </c>
      <c r="E47" s="27"/>
      <c r="F47" s="27"/>
      <c r="G47" s="28"/>
      <c r="H47" s="45">
        <v>103.521969</v>
      </c>
      <c r="I47" s="45"/>
      <c r="J47" s="45">
        <v>5.24489978</v>
      </c>
      <c r="K47" s="45"/>
      <c r="L47" s="45">
        <f t="shared" si="8"/>
        <v>2.2113641314285717</v>
      </c>
      <c r="M47" s="45">
        <f t="shared" si="8"/>
        <v>0</v>
      </c>
      <c r="N47" s="45">
        <f>L47+M47</f>
        <v>2.2113641314285717</v>
      </c>
      <c r="O47" s="45"/>
      <c r="P47" s="45">
        <v>1.28996241</v>
      </c>
      <c r="Q47" s="45">
        <v>0</v>
      </c>
      <c r="R47" s="45">
        <v>1.28996241</v>
      </c>
      <c r="S47" s="45"/>
      <c r="T47" s="45"/>
      <c r="U47" s="45"/>
      <c r="V47" s="45"/>
      <c r="W47" s="45"/>
      <c r="X47" s="45"/>
      <c r="Y47" s="45">
        <v>0.28164153000000003</v>
      </c>
      <c r="Z47" s="45">
        <v>0</v>
      </c>
      <c r="AA47" s="45">
        <v>0.23935563999999998</v>
      </c>
      <c r="AB47" s="45">
        <f>SUM(Y47:AA47)</f>
        <v>0.52099717</v>
      </c>
    </row>
    <row r="48" spans="3:28" ht="15">
      <c r="C48" s="19" t="s">
        <v>94</v>
      </c>
      <c r="D48" s="27" t="s">
        <v>159</v>
      </c>
      <c r="E48" s="27"/>
      <c r="F48" s="27"/>
      <c r="G48" s="28"/>
      <c r="H48" s="46">
        <v>23.83302703</v>
      </c>
      <c r="I48" s="46"/>
      <c r="J48" s="46">
        <v>20.672567230000002</v>
      </c>
      <c r="K48" s="46"/>
      <c r="L48" s="46">
        <f t="shared" si="8"/>
        <v>0</v>
      </c>
      <c r="M48" s="46">
        <f t="shared" si="8"/>
        <v>0</v>
      </c>
      <c r="N48" s="46">
        <f>L48+M48</f>
        <v>0</v>
      </c>
      <c r="O48" s="45"/>
      <c r="P48" s="46">
        <v>0</v>
      </c>
      <c r="Q48" s="46">
        <v>0</v>
      </c>
      <c r="R48" s="46">
        <v>0</v>
      </c>
      <c r="S48" s="45"/>
      <c r="T48" s="45"/>
      <c r="U48" s="45"/>
      <c r="V48" s="45"/>
      <c r="W48" s="45"/>
      <c r="X48" s="45"/>
      <c r="Y48" s="46">
        <v>1.17344899</v>
      </c>
      <c r="Z48" s="46">
        <v>0</v>
      </c>
      <c r="AA48" s="46">
        <v>-0.70862246</v>
      </c>
      <c r="AB48" s="46">
        <f>SUM(Y48:AA48)</f>
        <v>0.46482653000000007</v>
      </c>
    </row>
    <row r="49" spans="3:28" ht="15">
      <c r="C49" s="34" t="s">
        <v>95</v>
      </c>
      <c r="D49" s="35"/>
      <c r="E49" s="35"/>
      <c r="F49" s="35"/>
      <c r="G49" s="36"/>
      <c r="H49" s="47">
        <f>SUM(H45:H48)</f>
        <v>519.59502838</v>
      </c>
      <c r="I49" s="47"/>
      <c r="J49" s="47">
        <f>SUM(J45:J48)</f>
        <v>49.77671007</v>
      </c>
      <c r="K49" s="47"/>
      <c r="L49" s="47">
        <f>SUM(L45:L48)</f>
        <v>5.010391817142858</v>
      </c>
      <c r="M49" s="47">
        <f>SUM(M45:M48)</f>
        <v>2.060125508571428</v>
      </c>
      <c r="N49" s="47">
        <f>SUM(N45:N48)</f>
        <v>7.0705173257142855</v>
      </c>
      <c r="O49" s="45"/>
      <c r="P49" s="47">
        <f>SUM(P45:P48)</f>
        <v>2.9227285600000004</v>
      </c>
      <c r="Q49" s="47">
        <f>SUM(Q45:Q48)</f>
        <v>1.2017398799999996</v>
      </c>
      <c r="R49" s="47">
        <f>SUM(R45:R48)</f>
        <v>4.12446844</v>
      </c>
      <c r="S49" s="45"/>
      <c r="T49" s="45"/>
      <c r="U49" s="45"/>
      <c r="V49" s="45"/>
      <c r="W49" s="45"/>
      <c r="X49" s="45"/>
      <c r="Y49" s="47">
        <f>SUM(Y45:Y48)</f>
        <v>1.96370218</v>
      </c>
      <c r="Z49" s="47">
        <f>SUM(Z45:Z48)</f>
        <v>0</v>
      </c>
      <c r="AA49" s="47">
        <f>SUM(AA45:AA48)</f>
        <v>0.22821389999999997</v>
      </c>
      <c r="AB49" s="47">
        <f>SUM(AB45:AB48)</f>
        <v>2.19191608</v>
      </c>
    </row>
    <row r="50" spans="2:28" ht="15">
      <c r="B50" s="33" t="s">
        <v>96</v>
      </c>
      <c r="D50" s="27"/>
      <c r="E50" s="27"/>
      <c r="F50" s="27"/>
      <c r="G50" s="28"/>
      <c r="H50" s="45"/>
      <c r="I50" s="45"/>
      <c r="J50" s="45"/>
      <c r="K50" s="45"/>
      <c r="L50" s="45"/>
      <c r="M50" s="45"/>
      <c r="N50" s="45"/>
      <c r="O50" s="45"/>
      <c r="P50" s="45"/>
      <c r="Q50" s="45"/>
      <c r="R50" s="45"/>
      <c r="S50" s="45"/>
      <c r="T50" s="45"/>
      <c r="U50" s="45"/>
      <c r="V50" s="45"/>
      <c r="W50" s="45"/>
      <c r="X50" s="45"/>
      <c r="Y50" s="45"/>
      <c r="Z50" s="45"/>
      <c r="AA50" s="45"/>
      <c r="AB50" s="45"/>
    </row>
    <row r="51" spans="3:28" ht="15">
      <c r="C51" s="19" t="s">
        <v>97</v>
      </c>
      <c r="D51" s="27" t="s">
        <v>161</v>
      </c>
      <c r="E51" s="27"/>
      <c r="F51" s="27"/>
      <c r="G51" s="28"/>
      <c r="H51" s="45">
        <v>50</v>
      </c>
      <c r="I51" s="45"/>
      <c r="J51" s="45">
        <v>0</v>
      </c>
      <c r="K51" s="45"/>
      <c r="L51" s="45">
        <f aca="true" t="shared" si="9" ref="L51:M54">(P51/7)*12</f>
        <v>0.4713013714285714</v>
      </c>
      <c r="M51" s="45">
        <f t="shared" si="9"/>
        <v>0</v>
      </c>
      <c r="N51" s="45">
        <f>L51+M51</f>
        <v>0.4713013714285714</v>
      </c>
      <c r="O51" s="45"/>
      <c r="P51" s="45">
        <v>0.2749258</v>
      </c>
      <c r="Q51" s="45">
        <v>0</v>
      </c>
      <c r="R51" s="45">
        <v>0.2749258</v>
      </c>
      <c r="S51" s="45"/>
      <c r="T51" s="45"/>
      <c r="U51" s="45"/>
      <c r="V51" s="45"/>
      <c r="W51" s="45"/>
      <c r="X51" s="45"/>
      <c r="Y51" s="45">
        <v>0.7648861399999999</v>
      </c>
      <c r="Z51" s="45">
        <v>0</v>
      </c>
      <c r="AA51" s="45">
        <v>0.7177547500000001</v>
      </c>
      <c r="AB51" s="45">
        <f>SUM(Y51:AA51)</f>
        <v>1.4826408899999999</v>
      </c>
    </row>
    <row r="52" spans="3:28" ht="15">
      <c r="C52" s="19" t="s">
        <v>98</v>
      </c>
      <c r="D52" s="27" t="s">
        <v>161</v>
      </c>
      <c r="E52" s="27"/>
      <c r="F52" s="27"/>
      <c r="G52" s="28"/>
      <c r="H52" s="45">
        <v>304.50511800000004</v>
      </c>
      <c r="I52" s="45"/>
      <c r="J52" s="45">
        <v>0.257496</v>
      </c>
      <c r="K52" s="45"/>
      <c r="L52" s="45">
        <f t="shared" si="9"/>
        <v>3.746641611428572</v>
      </c>
      <c r="M52" s="45">
        <f t="shared" si="9"/>
        <v>0.003045493714285714</v>
      </c>
      <c r="N52" s="45">
        <f>L52+M52</f>
        <v>3.7496871051428577</v>
      </c>
      <c r="O52" s="45"/>
      <c r="P52" s="45">
        <v>2.18554094</v>
      </c>
      <c r="Q52" s="45">
        <v>0.001776538</v>
      </c>
      <c r="R52" s="45">
        <v>2.187317478</v>
      </c>
      <c r="S52" s="45"/>
      <c r="T52" s="45"/>
      <c r="U52" s="45"/>
      <c r="V52" s="45"/>
      <c r="W52" s="45"/>
      <c r="X52" s="45"/>
      <c r="Y52" s="45">
        <v>0</v>
      </c>
      <c r="Z52" s="45">
        <v>0</v>
      </c>
      <c r="AA52" s="45">
        <v>-0.0015963500000000033</v>
      </c>
      <c r="AB52" s="45">
        <f>SUM(Y52:AA52)</f>
        <v>-0.0015963500000000033</v>
      </c>
    </row>
    <row r="53" spans="3:28" ht="15">
      <c r="C53" s="19" t="s">
        <v>99</v>
      </c>
      <c r="D53" s="27" t="s">
        <v>161</v>
      </c>
      <c r="E53" s="27"/>
      <c r="F53" s="27"/>
      <c r="G53" s="28"/>
      <c r="H53" s="45">
        <v>602.5444279999999</v>
      </c>
      <c r="I53" s="45"/>
      <c r="J53" s="45">
        <v>9.44742889</v>
      </c>
      <c r="K53" s="45"/>
      <c r="L53" s="45">
        <f t="shared" si="9"/>
        <v>5.63136504</v>
      </c>
      <c r="M53" s="45">
        <f t="shared" si="9"/>
        <v>3.0454937142857137</v>
      </c>
      <c r="N53" s="45">
        <f>L53+M53</f>
        <v>8.676858754285714</v>
      </c>
      <c r="O53" s="45"/>
      <c r="P53" s="45">
        <v>3.28496294</v>
      </c>
      <c r="Q53" s="45">
        <v>1.776538</v>
      </c>
      <c r="R53" s="45">
        <v>5.06150094</v>
      </c>
      <c r="S53" s="45"/>
      <c r="T53" s="45"/>
      <c r="U53" s="45"/>
      <c r="V53" s="45"/>
      <c r="W53" s="45"/>
      <c r="X53" s="45"/>
      <c r="Y53" s="45">
        <v>0</v>
      </c>
      <c r="Z53" s="45">
        <v>0</v>
      </c>
      <c r="AA53" s="45">
        <v>-0.25810468000000003</v>
      </c>
      <c r="AB53" s="45">
        <f>SUM(Y53:AA53)</f>
        <v>-0.25810468000000003</v>
      </c>
    </row>
    <row r="54" spans="3:28" ht="15">
      <c r="C54" s="19" t="s">
        <v>100</v>
      </c>
      <c r="D54" s="27" t="s">
        <v>161</v>
      </c>
      <c r="E54" s="27"/>
      <c r="F54" s="27"/>
      <c r="G54" s="28"/>
      <c r="H54" s="46">
        <v>0</v>
      </c>
      <c r="I54" s="46"/>
      <c r="J54" s="46">
        <v>14.68977765</v>
      </c>
      <c r="K54" s="46"/>
      <c r="L54" s="46">
        <f t="shared" si="9"/>
        <v>0</v>
      </c>
      <c r="M54" s="46">
        <f t="shared" si="9"/>
        <v>0</v>
      </c>
      <c r="N54" s="46">
        <f>L54+M54</f>
        <v>0</v>
      </c>
      <c r="O54" s="45"/>
      <c r="P54" s="46">
        <v>0</v>
      </c>
      <c r="Q54" s="46">
        <v>0</v>
      </c>
      <c r="R54" s="46">
        <v>0</v>
      </c>
      <c r="S54" s="45"/>
      <c r="T54" s="45"/>
      <c r="U54" s="45"/>
      <c r="V54" s="45"/>
      <c r="W54" s="45"/>
      <c r="X54" s="45"/>
      <c r="Y54" s="46">
        <v>0</v>
      </c>
      <c r="Z54" s="46">
        <v>0</v>
      </c>
      <c r="AA54" s="46">
        <v>0</v>
      </c>
      <c r="AB54" s="46">
        <f>SUM(Y54:AA54)</f>
        <v>0</v>
      </c>
    </row>
    <row r="55" spans="3:28" ht="15">
      <c r="C55" s="34" t="s">
        <v>101</v>
      </c>
      <c r="D55" s="35"/>
      <c r="E55" s="35"/>
      <c r="F55" s="35"/>
      <c r="G55" s="36"/>
      <c r="H55" s="47">
        <f>SUM(H51:H54)</f>
        <v>957.049546</v>
      </c>
      <c r="I55" s="47"/>
      <c r="J55" s="47">
        <f>SUM(J51:J54)</f>
        <v>24.394702539999997</v>
      </c>
      <c r="K55" s="47"/>
      <c r="L55" s="47">
        <f>SUM(L51:L54)</f>
        <v>9.849308022857144</v>
      </c>
      <c r="M55" s="47">
        <f>SUM(M51:M54)</f>
        <v>3.0485392079999993</v>
      </c>
      <c r="N55" s="47">
        <f>SUM(N51:N54)</f>
        <v>12.897847230857144</v>
      </c>
      <c r="O55" s="45"/>
      <c r="P55" s="47">
        <f>SUM(P51:P54)</f>
        <v>5.745429680000001</v>
      </c>
      <c r="Q55" s="47">
        <f>SUM(Q51:Q54)</f>
        <v>1.778314538</v>
      </c>
      <c r="R55" s="47">
        <f>SUM(R51:R54)</f>
        <v>7.523744218000001</v>
      </c>
      <c r="S55" s="45"/>
      <c r="T55" s="45"/>
      <c r="U55" s="45"/>
      <c r="V55" s="45"/>
      <c r="W55" s="45"/>
      <c r="X55" s="45"/>
      <c r="Y55" s="47">
        <f>SUM(Y51:Y54)</f>
        <v>0.7648861399999999</v>
      </c>
      <c r="Z55" s="47">
        <f>SUM(Z51:Z54)</f>
        <v>0</v>
      </c>
      <c r="AA55" s="47">
        <f>SUM(AA51:AA54)</f>
        <v>0.45805372000000005</v>
      </c>
      <c r="AB55" s="47">
        <f>SUM(AB51:AB54)</f>
        <v>1.2229398599999999</v>
      </c>
    </row>
    <row r="56" spans="2:28" ht="15">
      <c r="B56" s="33" t="s">
        <v>102</v>
      </c>
      <c r="D56" s="27"/>
      <c r="E56" s="27"/>
      <c r="F56" s="27"/>
      <c r="G56" s="28"/>
      <c r="H56" s="45"/>
      <c r="I56" s="45"/>
      <c r="J56" s="45"/>
      <c r="K56" s="45"/>
      <c r="L56" s="45"/>
      <c r="M56" s="45"/>
      <c r="N56" s="45"/>
      <c r="O56" s="45"/>
      <c r="P56" s="45"/>
      <c r="Q56" s="45"/>
      <c r="R56" s="45"/>
      <c r="S56" s="45"/>
      <c r="T56" s="45"/>
      <c r="U56" s="45"/>
      <c r="V56" s="45"/>
      <c r="W56" s="45"/>
      <c r="X56" s="45"/>
      <c r="Y56" s="45"/>
      <c r="Z56" s="45"/>
      <c r="AA56" s="45"/>
      <c r="AB56" s="45"/>
    </row>
    <row r="57" spans="3:28" ht="15">
      <c r="C57" s="19" t="s">
        <v>103</v>
      </c>
      <c r="D57" s="27" t="s">
        <v>161</v>
      </c>
      <c r="E57" s="27"/>
      <c r="F57" s="27"/>
      <c r="G57" s="28"/>
      <c r="H57" s="45">
        <v>0</v>
      </c>
      <c r="I57" s="45"/>
      <c r="J57" s="45">
        <v>0.058692999999999995</v>
      </c>
      <c r="K57" s="45"/>
      <c r="L57" s="45">
        <f>(P57/7)*12</f>
        <v>0</v>
      </c>
      <c r="M57" s="45">
        <f>(Q57/7)*12</f>
        <v>0</v>
      </c>
      <c r="N57" s="45">
        <f>L57+M57</f>
        <v>0</v>
      </c>
      <c r="O57" s="45"/>
      <c r="P57" s="45">
        <v>0</v>
      </c>
      <c r="Q57" s="45">
        <v>0</v>
      </c>
      <c r="R57" s="45">
        <v>0</v>
      </c>
      <c r="S57" s="45"/>
      <c r="T57" s="45"/>
      <c r="U57" s="45"/>
      <c r="V57" s="45"/>
      <c r="W57" s="45"/>
      <c r="X57" s="45"/>
      <c r="Y57" s="45">
        <v>0</v>
      </c>
      <c r="Z57" s="45">
        <v>0</v>
      </c>
      <c r="AA57" s="45">
        <v>0</v>
      </c>
      <c r="AB57" s="45">
        <f>SUM(Y57:AA57)</f>
        <v>0</v>
      </c>
    </row>
    <row r="58" spans="3:28" ht="15">
      <c r="C58" s="19" t="s">
        <v>104</v>
      </c>
      <c r="D58" s="27" t="s">
        <v>161</v>
      </c>
      <c r="E58" s="27"/>
      <c r="F58" s="27"/>
      <c r="G58" s="28"/>
      <c r="H58" s="46">
        <v>0</v>
      </c>
      <c r="I58" s="46"/>
      <c r="J58" s="46">
        <v>14.79681589</v>
      </c>
      <c r="K58" s="46"/>
      <c r="L58" s="46">
        <f>(P58/7)*12</f>
        <v>0</v>
      </c>
      <c r="M58" s="46">
        <f>(Q58/7)*12</f>
        <v>0</v>
      </c>
      <c r="N58" s="46">
        <f>L58+M58</f>
        <v>0</v>
      </c>
      <c r="O58" s="45"/>
      <c r="P58" s="46">
        <v>0</v>
      </c>
      <c r="Q58" s="46">
        <v>0</v>
      </c>
      <c r="R58" s="46">
        <v>0</v>
      </c>
      <c r="S58" s="45"/>
      <c r="T58" s="45"/>
      <c r="U58" s="45"/>
      <c r="V58" s="45"/>
      <c r="W58" s="45"/>
      <c r="X58" s="45"/>
      <c r="Y58" s="46">
        <v>0</v>
      </c>
      <c r="Z58" s="46">
        <v>0</v>
      </c>
      <c r="AA58" s="46">
        <v>0</v>
      </c>
      <c r="AB58" s="46">
        <f>SUM(Y58:AA58)</f>
        <v>0</v>
      </c>
    </row>
    <row r="59" spans="3:28" ht="15">
      <c r="C59" s="34" t="s">
        <v>105</v>
      </c>
      <c r="D59" s="35"/>
      <c r="E59" s="35"/>
      <c r="F59" s="35"/>
      <c r="G59" s="36"/>
      <c r="H59" s="47">
        <f>SUM(H57:H58)</f>
        <v>0</v>
      </c>
      <c r="I59" s="47"/>
      <c r="J59" s="47">
        <f>SUM(J57:J58)</f>
        <v>14.85550889</v>
      </c>
      <c r="K59" s="47"/>
      <c r="L59" s="47">
        <f>SUM(L57:L58)</f>
        <v>0</v>
      </c>
      <c r="M59" s="47">
        <f>SUM(M57:M58)</f>
        <v>0</v>
      </c>
      <c r="N59" s="47">
        <f>SUM(N57:N58)</f>
        <v>0</v>
      </c>
      <c r="O59" s="45"/>
      <c r="P59" s="47">
        <v>0</v>
      </c>
      <c r="Q59" s="47">
        <v>0</v>
      </c>
      <c r="R59" s="47">
        <v>0</v>
      </c>
      <c r="S59" s="45"/>
      <c r="T59" s="45"/>
      <c r="U59" s="45"/>
      <c r="V59" s="45"/>
      <c r="W59" s="45"/>
      <c r="X59" s="45"/>
      <c r="Y59" s="45">
        <f>SUM(Y57:Y58)</f>
        <v>0</v>
      </c>
      <c r="Z59" s="45">
        <f>SUM(Z57:Z58)</f>
        <v>0</v>
      </c>
      <c r="AA59" s="45">
        <f>SUM(AA57:AA58)</f>
        <v>0</v>
      </c>
      <c r="AB59" s="45">
        <f>SUM(Y59:AA59)</f>
        <v>0</v>
      </c>
    </row>
    <row r="60" spans="2:28" ht="15">
      <c r="B60" s="33" t="s">
        <v>106</v>
      </c>
      <c r="D60" s="27"/>
      <c r="E60" s="27"/>
      <c r="F60" s="27"/>
      <c r="G60" s="28"/>
      <c r="H60" s="45"/>
      <c r="I60" s="45"/>
      <c r="J60" s="45"/>
      <c r="K60" s="45"/>
      <c r="L60" s="45"/>
      <c r="M60" s="45"/>
      <c r="N60" s="45"/>
      <c r="O60" s="45"/>
      <c r="P60" s="45"/>
      <c r="Q60" s="45"/>
      <c r="R60" s="45"/>
      <c r="S60" s="45"/>
      <c r="T60" s="45"/>
      <c r="U60" s="45"/>
      <c r="V60" s="45"/>
      <c r="W60" s="45"/>
      <c r="X60" s="45"/>
      <c r="Y60" s="45"/>
      <c r="Z60" s="45"/>
      <c r="AA60" s="45"/>
      <c r="AB60" s="45"/>
    </row>
    <row r="61" spans="3:28" ht="15">
      <c r="C61" s="19" t="s">
        <v>107</v>
      </c>
      <c r="D61" s="27" t="s">
        <v>161</v>
      </c>
      <c r="E61" s="27"/>
      <c r="F61" s="27"/>
      <c r="G61" s="28"/>
      <c r="H61" s="45">
        <v>76.62251041</v>
      </c>
      <c r="I61" s="45"/>
      <c r="J61" s="45">
        <v>0.06670678</v>
      </c>
      <c r="K61" s="45"/>
      <c r="L61" s="45">
        <f>(P61/7)*12</f>
        <v>0</v>
      </c>
      <c r="M61" s="45">
        <f>(Q61/7)*12</f>
        <v>0</v>
      </c>
      <c r="N61" s="45">
        <f>L61+M61</f>
        <v>0</v>
      </c>
      <c r="O61" s="45"/>
      <c r="P61" s="45">
        <v>0</v>
      </c>
      <c r="Q61" s="45">
        <v>0</v>
      </c>
      <c r="R61" s="45">
        <v>0</v>
      </c>
      <c r="S61" s="45"/>
      <c r="T61" s="45"/>
      <c r="U61" s="45"/>
      <c r="V61" s="45"/>
      <c r="W61" s="45"/>
      <c r="X61" s="45"/>
      <c r="Y61" s="45">
        <v>-2.3E-07</v>
      </c>
      <c r="Z61" s="45">
        <v>0</v>
      </c>
      <c r="AA61" s="45">
        <v>0.6890373599999999</v>
      </c>
      <c r="AB61" s="45">
        <f>SUM(Y61:AA61)</f>
        <v>0.6890371299999999</v>
      </c>
    </row>
    <row r="62" spans="3:28" ht="15">
      <c r="C62" s="19" t="s">
        <v>108</v>
      </c>
      <c r="D62" s="27" t="s">
        <v>161</v>
      </c>
      <c r="E62" s="27"/>
      <c r="F62" s="27"/>
      <c r="G62" s="28"/>
      <c r="H62" s="46">
        <v>224.77005601</v>
      </c>
      <c r="I62" s="46"/>
      <c r="J62" s="46">
        <v>2.46131064</v>
      </c>
      <c r="K62" s="46"/>
      <c r="L62" s="46">
        <f>(P62/7)*12</f>
        <v>2.797413171428571</v>
      </c>
      <c r="M62" s="46">
        <f>(Q62/7)*12</f>
        <v>0</v>
      </c>
      <c r="N62" s="46">
        <f>L62+M62</f>
        <v>2.797413171428571</v>
      </c>
      <c r="O62" s="45"/>
      <c r="P62" s="46">
        <v>1.6318243499999998</v>
      </c>
      <c r="Q62" s="46">
        <v>0</v>
      </c>
      <c r="R62" s="46">
        <v>1.6318243499999998</v>
      </c>
      <c r="S62" s="45"/>
      <c r="T62" s="45"/>
      <c r="U62" s="45"/>
      <c r="V62" s="45"/>
      <c r="W62" s="45"/>
      <c r="X62" s="45"/>
      <c r="Y62" s="46">
        <v>-1.07E-06</v>
      </c>
      <c r="Z62" s="46">
        <v>0</v>
      </c>
      <c r="AA62" s="46">
        <v>0.00947962</v>
      </c>
      <c r="AB62" s="46">
        <f>SUM(Y62:AA62)</f>
        <v>0.009478549999999999</v>
      </c>
    </row>
    <row r="63" spans="3:28" ht="15">
      <c r="C63" s="34" t="s">
        <v>109</v>
      </c>
      <c r="D63" s="35"/>
      <c r="E63" s="35"/>
      <c r="F63" s="35"/>
      <c r="G63" s="36"/>
      <c r="H63" s="47">
        <f>SUM(H61:H62)</f>
        <v>301.39256642</v>
      </c>
      <c r="I63" s="47"/>
      <c r="J63" s="47">
        <f>SUM(J61:J62)</f>
        <v>2.5280174200000003</v>
      </c>
      <c r="K63" s="47"/>
      <c r="L63" s="47">
        <f>SUM(L61:L62)</f>
        <v>2.797413171428571</v>
      </c>
      <c r="M63" s="47">
        <f>SUM(M61:M62)</f>
        <v>0</v>
      </c>
      <c r="N63" s="47">
        <f>SUM(N61:N62)</f>
        <v>2.797413171428571</v>
      </c>
      <c r="O63" s="45"/>
      <c r="P63" s="47">
        <f>SUM(P61:P62)</f>
        <v>1.6318243499999998</v>
      </c>
      <c r="Q63" s="47">
        <f>SUM(Q61:Q62)</f>
        <v>0</v>
      </c>
      <c r="R63" s="47">
        <f>SUM(R61:R62)</f>
        <v>1.6318243499999998</v>
      </c>
      <c r="S63" s="45"/>
      <c r="T63" s="45"/>
      <c r="U63" s="45"/>
      <c r="V63" s="45"/>
      <c r="W63" s="45"/>
      <c r="X63" s="45"/>
      <c r="Y63" s="45">
        <f>SUM(Y61:Y62)</f>
        <v>-1.2999999999999998E-06</v>
      </c>
      <c r="Z63" s="45">
        <f>SUM(Z61:Z62)</f>
        <v>0</v>
      </c>
      <c r="AA63" s="45">
        <f>SUM(AA61:AA62)</f>
        <v>0.69851698</v>
      </c>
      <c r="AB63" s="45">
        <f>SUM(Y63:AA63)</f>
        <v>0.69851568</v>
      </c>
    </row>
    <row r="64" spans="4:28" ht="3.75" customHeight="1">
      <c r="D64" s="27"/>
      <c r="E64" s="27"/>
      <c r="F64" s="27"/>
      <c r="G64" s="28"/>
      <c r="H64" s="46"/>
      <c r="I64" s="46"/>
      <c r="J64" s="46"/>
      <c r="K64" s="46"/>
      <c r="L64" s="46"/>
      <c r="M64" s="46"/>
      <c r="N64" s="46"/>
      <c r="O64" s="45"/>
      <c r="P64" s="46"/>
      <c r="Q64" s="46"/>
      <c r="R64" s="46"/>
      <c r="S64" s="45"/>
      <c r="T64" s="45"/>
      <c r="U64" s="45"/>
      <c r="V64" s="45"/>
      <c r="W64" s="45"/>
      <c r="X64" s="45"/>
      <c r="Y64" s="46"/>
      <c r="Z64" s="46"/>
      <c r="AA64" s="46"/>
      <c r="AB64" s="46"/>
    </row>
    <row r="65" spans="3:28" ht="15">
      <c r="C65" s="37" t="s">
        <v>110</v>
      </c>
      <c r="D65" s="27"/>
      <c r="E65" s="27"/>
      <c r="F65" s="27"/>
      <c r="G65" s="28"/>
      <c r="H65" s="48">
        <f>H63+H59+H55+H49</f>
        <v>1778.0371407999999</v>
      </c>
      <c r="I65" s="48"/>
      <c r="J65" s="48">
        <f>J63+J59+J55+J49</f>
        <v>91.55493892</v>
      </c>
      <c r="K65" s="48"/>
      <c r="L65" s="48">
        <f>L63+L59+L55+L49</f>
        <v>17.657113011428574</v>
      </c>
      <c r="M65" s="48">
        <f>M63+M59+M55+M49</f>
        <v>5.108664716571427</v>
      </c>
      <c r="N65" s="48">
        <f>N63+N59+N55+N49</f>
        <v>22.765777728</v>
      </c>
      <c r="O65" s="45"/>
      <c r="P65" s="48">
        <v>10.29998259</v>
      </c>
      <c r="Q65" s="48">
        <v>2.980054418</v>
      </c>
      <c r="R65" s="48">
        <v>13.280037008</v>
      </c>
      <c r="S65" s="45"/>
      <c r="T65" s="45"/>
      <c r="U65" s="45"/>
      <c r="V65" s="45"/>
      <c r="W65" s="45"/>
      <c r="X65" s="45"/>
      <c r="Y65" s="48">
        <f>Y63+Y59+Y55+Y49</f>
        <v>2.72858702</v>
      </c>
      <c r="Z65" s="48">
        <f>Z63+Z59+Z55+Z49</f>
        <v>0</v>
      </c>
      <c r="AA65" s="48">
        <f>AA63+AA59+AA55+AA49</f>
        <v>1.3847846000000001</v>
      </c>
      <c r="AB65" s="48">
        <f>SUM(Y65:AA65)</f>
        <v>4.113371620000001</v>
      </c>
    </row>
    <row r="66" spans="4:28" ht="3.75" customHeight="1">
      <c r="D66" s="27"/>
      <c r="E66" s="27"/>
      <c r="F66" s="27"/>
      <c r="G66" s="28"/>
      <c r="H66" s="45"/>
      <c r="I66" s="45"/>
      <c r="J66" s="45"/>
      <c r="K66" s="45"/>
      <c r="L66" s="45"/>
      <c r="M66" s="45"/>
      <c r="N66" s="45"/>
      <c r="O66" s="45"/>
      <c r="P66" s="45"/>
      <c r="Q66" s="45"/>
      <c r="R66" s="45"/>
      <c r="S66" s="45"/>
      <c r="T66" s="45"/>
      <c r="U66" s="45"/>
      <c r="V66" s="45"/>
      <c r="W66" s="45"/>
      <c r="X66" s="45"/>
      <c r="Y66" s="45"/>
      <c r="Z66" s="45"/>
      <c r="AA66" s="45"/>
      <c r="AB66" s="45"/>
    </row>
    <row r="67" spans="1:28" ht="15">
      <c r="A67" s="29" t="s">
        <v>111</v>
      </c>
      <c r="B67" s="30"/>
      <c r="C67" s="30"/>
      <c r="D67" s="31"/>
      <c r="E67" s="31"/>
      <c r="F67" s="31"/>
      <c r="G67" s="32"/>
      <c r="H67" s="49"/>
      <c r="I67" s="49"/>
      <c r="J67" s="49"/>
      <c r="K67" s="49"/>
      <c r="L67" s="49"/>
      <c r="M67" s="49"/>
      <c r="N67" s="49"/>
      <c r="O67" s="50"/>
      <c r="P67" s="49"/>
      <c r="Q67" s="49"/>
      <c r="R67" s="49"/>
      <c r="S67" s="49"/>
      <c r="T67" s="49"/>
      <c r="U67" s="49"/>
      <c r="V67" s="49"/>
      <c r="W67" s="49"/>
      <c r="X67" s="49"/>
      <c r="Y67" s="49"/>
      <c r="Z67" s="49"/>
      <c r="AA67" s="49"/>
      <c r="AB67" s="49"/>
    </row>
    <row r="68" spans="2:28" ht="15">
      <c r="B68" s="33" t="s">
        <v>112</v>
      </c>
      <c r="D68" s="27"/>
      <c r="E68" s="27"/>
      <c r="F68" s="27"/>
      <c r="G68" s="28"/>
      <c r="H68" s="45"/>
      <c r="I68" s="45"/>
      <c r="J68" s="45"/>
      <c r="K68" s="45"/>
      <c r="L68" s="45"/>
      <c r="M68" s="45"/>
      <c r="N68" s="45"/>
      <c r="O68" s="45"/>
      <c r="P68" s="45"/>
      <c r="Q68" s="45"/>
      <c r="R68" s="45"/>
      <c r="S68" s="45"/>
      <c r="T68" s="45"/>
      <c r="U68" s="45"/>
      <c r="V68" s="45"/>
      <c r="W68" s="45"/>
      <c r="X68" s="45"/>
      <c r="Y68" s="45"/>
      <c r="Z68" s="45"/>
      <c r="AA68" s="45"/>
      <c r="AB68" s="45"/>
    </row>
    <row r="69" spans="3:28" ht="15">
      <c r="C69" s="19" t="s">
        <v>113</v>
      </c>
      <c r="D69" s="27" t="s">
        <v>161</v>
      </c>
      <c r="E69" s="27"/>
      <c r="F69" s="27"/>
      <c r="G69" s="28"/>
      <c r="H69" s="45">
        <v>1363.418682</v>
      </c>
      <c r="I69" s="45"/>
      <c r="J69" s="45">
        <v>0</v>
      </c>
      <c r="K69" s="45"/>
      <c r="L69" s="45">
        <f aca="true" t="shared" si="10" ref="L69:M73">(P69/7)*12</f>
        <v>4.600781125714286</v>
      </c>
      <c r="M69" s="45">
        <f t="shared" si="10"/>
        <v>0</v>
      </c>
      <c r="N69" s="45">
        <f>L69+M69</f>
        <v>4.600781125714286</v>
      </c>
      <c r="O69" s="45"/>
      <c r="P69" s="45">
        <v>2.68378899</v>
      </c>
      <c r="Q69" s="45">
        <v>0</v>
      </c>
      <c r="R69" s="45">
        <v>2.68378899</v>
      </c>
      <c r="S69" s="45"/>
      <c r="T69" s="45"/>
      <c r="U69" s="45"/>
      <c r="V69" s="45"/>
      <c r="W69" s="45"/>
      <c r="X69" s="45"/>
      <c r="Y69" s="45">
        <v>0</v>
      </c>
      <c r="Z69" s="45">
        <v>0</v>
      </c>
      <c r="AA69" s="45">
        <v>0</v>
      </c>
      <c r="AB69" s="45">
        <f aca="true" t="shared" si="11" ref="AB69:AB74">SUM(Y69:AA69)</f>
        <v>0</v>
      </c>
    </row>
    <row r="70" spans="3:28" ht="15">
      <c r="C70" s="19" t="s">
        <v>114</v>
      </c>
      <c r="D70" s="27" t="s">
        <v>161</v>
      </c>
      <c r="E70" s="27"/>
      <c r="F70" s="27"/>
      <c r="G70" s="28"/>
      <c r="H70" s="45">
        <v>384.91051699999997</v>
      </c>
      <c r="I70" s="45"/>
      <c r="J70" s="45">
        <v>0</v>
      </c>
      <c r="K70" s="45"/>
      <c r="L70" s="45">
        <f t="shared" si="10"/>
        <v>5.841720994285716</v>
      </c>
      <c r="M70" s="45">
        <f t="shared" si="10"/>
        <v>0</v>
      </c>
      <c r="N70" s="45">
        <f>L70+M70</f>
        <v>5.841720994285716</v>
      </c>
      <c r="O70" s="45"/>
      <c r="P70" s="45">
        <v>3.4076705800000004</v>
      </c>
      <c r="Q70" s="45">
        <v>0</v>
      </c>
      <c r="R70" s="45">
        <v>3.4076705800000004</v>
      </c>
      <c r="S70" s="45"/>
      <c r="T70" s="45"/>
      <c r="U70" s="45"/>
      <c r="V70" s="45"/>
      <c r="W70" s="45"/>
      <c r="X70" s="45"/>
      <c r="Y70" s="45">
        <v>0</v>
      </c>
      <c r="Z70" s="45">
        <v>0</v>
      </c>
      <c r="AA70" s="45">
        <v>0.06639351</v>
      </c>
      <c r="AB70" s="45">
        <f t="shared" si="11"/>
        <v>0.06639351</v>
      </c>
    </row>
    <row r="71" spans="3:28" ht="15">
      <c r="C71" s="19" t="s">
        <v>115</v>
      </c>
      <c r="D71" s="27" t="s">
        <v>161</v>
      </c>
      <c r="E71" s="27"/>
      <c r="F71" s="27"/>
      <c r="G71" s="28"/>
      <c r="H71" s="45">
        <v>2.91087</v>
      </c>
      <c r="I71" s="45"/>
      <c r="J71" s="45">
        <v>0</v>
      </c>
      <c r="K71" s="45"/>
      <c r="L71" s="45">
        <f t="shared" si="10"/>
        <v>0.4302011828571429</v>
      </c>
      <c r="M71" s="45">
        <f t="shared" si="10"/>
        <v>0</v>
      </c>
      <c r="N71" s="45">
        <f>L71+M71</f>
        <v>0.4302011828571429</v>
      </c>
      <c r="O71" s="45"/>
      <c r="P71" s="45">
        <v>0.25095069000000003</v>
      </c>
      <c r="Q71" s="45">
        <v>0</v>
      </c>
      <c r="R71" s="45">
        <v>0.25095069000000003</v>
      </c>
      <c r="S71" s="45"/>
      <c r="T71" s="45"/>
      <c r="U71" s="45"/>
      <c r="V71" s="45"/>
      <c r="W71" s="45"/>
      <c r="X71" s="45"/>
      <c r="Y71" s="45">
        <v>0</v>
      </c>
      <c r="Z71" s="45">
        <v>0</v>
      </c>
      <c r="AA71" s="45">
        <v>0.10023794</v>
      </c>
      <c r="AB71" s="45">
        <f t="shared" si="11"/>
        <v>0.10023794</v>
      </c>
    </row>
    <row r="72" spans="3:28" ht="15">
      <c r="C72" s="19" t="s">
        <v>116</v>
      </c>
      <c r="D72" s="27" t="s">
        <v>161</v>
      </c>
      <c r="E72" s="27"/>
      <c r="F72" s="27"/>
      <c r="G72" s="28"/>
      <c r="H72" s="45">
        <v>0</v>
      </c>
      <c r="I72" s="45"/>
      <c r="J72" s="45">
        <v>0</v>
      </c>
      <c r="K72" s="45"/>
      <c r="L72" s="45">
        <f t="shared" si="10"/>
        <v>0</v>
      </c>
      <c r="M72" s="45">
        <f t="shared" si="10"/>
        <v>0</v>
      </c>
      <c r="N72" s="45">
        <f>L72+M72</f>
        <v>0</v>
      </c>
      <c r="O72" s="45"/>
      <c r="P72" s="45">
        <v>0</v>
      </c>
      <c r="Q72" s="45">
        <v>0</v>
      </c>
      <c r="R72" s="45">
        <v>0</v>
      </c>
      <c r="S72" s="45"/>
      <c r="T72" s="45"/>
      <c r="U72" s="45"/>
      <c r="V72" s="45"/>
      <c r="W72" s="45"/>
      <c r="X72" s="45"/>
      <c r="Y72" s="45">
        <v>0.32467506</v>
      </c>
      <c r="Z72" s="45">
        <v>0</v>
      </c>
      <c r="AA72" s="45">
        <v>4.883185109999999</v>
      </c>
      <c r="AB72" s="45">
        <f t="shared" si="11"/>
        <v>5.207860169999999</v>
      </c>
    </row>
    <row r="73" spans="3:28" ht="15">
      <c r="C73" s="19" t="s">
        <v>117</v>
      </c>
      <c r="D73" s="27" t="s">
        <v>160</v>
      </c>
      <c r="E73" s="27"/>
      <c r="F73" s="27"/>
      <c r="G73" s="28"/>
      <c r="H73" s="46">
        <v>0</v>
      </c>
      <c r="I73" s="46"/>
      <c r="J73" s="46">
        <v>0.289</v>
      </c>
      <c r="K73" s="46"/>
      <c r="L73" s="46">
        <f t="shared" si="10"/>
        <v>0</v>
      </c>
      <c r="M73" s="46">
        <f t="shared" si="10"/>
        <v>0</v>
      </c>
      <c r="N73" s="46">
        <f>L73+M73</f>
        <v>0</v>
      </c>
      <c r="O73" s="45"/>
      <c r="P73" s="46">
        <v>0</v>
      </c>
      <c r="Q73" s="46">
        <v>0</v>
      </c>
      <c r="R73" s="46">
        <v>0</v>
      </c>
      <c r="S73" s="45"/>
      <c r="T73" s="45"/>
      <c r="U73" s="45"/>
      <c r="V73" s="45"/>
      <c r="W73" s="45"/>
      <c r="X73" s="45"/>
      <c r="Y73" s="46">
        <v>0</v>
      </c>
      <c r="Z73" s="46">
        <v>0</v>
      </c>
      <c r="AA73" s="46">
        <v>0</v>
      </c>
      <c r="AB73" s="46">
        <f t="shared" si="11"/>
        <v>0</v>
      </c>
    </row>
    <row r="74" spans="3:28" ht="15">
      <c r="C74" s="34" t="s">
        <v>118</v>
      </c>
      <c r="D74" s="35"/>
      <c r="E74" s="35"/>
      <c r="F74" s="35"/>
      <c r="G74" s="36"/>
      <c r="H74" s="47">
        <f>SUM(H69:H73)</f>
        <v>1751.240069</v>
      </c>
      <c r="I74" s="47"/>
      <c r="J74" s="47">
        <f>SUM(J69:J73)</f>
        <v>0.289</v>
      </c>
      <c r="K74" s="47"/>
      <c r="L74" s="47">
        <f>SUM(L69:L73)</f>
        <v>10.872703302857143</v>
      </c>
      <c r="M74" s="47">
        <f>SUM(M69:M73)</f>
        <v>0</v>
      </c>
      <c r="N74" s="47">
        <f>SUM(N69:N73)</f>
        <v>10.872703302857143</v>
      </c>
      <c r="O74" s="45"/>
      <c r="P74" s="47">
        <f>SUM(P69:P73)</f>
        <v>6.34241026</v>
      </c>
      <c r="Q74" s="47">
        <f>SUM(Q69:Q73)</f>
        <v>0</v>
      </c>
      <c r="R74" s="47">
        <f>SUM(R69:R73)</f>
        <v>6.34241026</v>
      </c>
      <c r="S74" s="45"/>
      <c r="T74" s="45"/>
      <c r="U74" s="45"/>
      <c r="V74" s="45"/>
      <c r="W74" s="45"/>
      <c r="X74" s="45"/>
      <c r="Y74" s="47">
        <f>SUM(Y69:Y73)</f>
        <v>0.32467506</v>
      </c>
      <c r="Z74" s="47">
        <f>SUM(Z69:Z73)</f>
        <v>0</v>
      </c>
      <c r="AA74" s="47">
        <f>SUM(AA69:AA73)</f>
        <v>5.049816559999999</v>
      </c>
      <c r="AB74" s="47">
        <f t="shared" si="11"/>
        <v>5.374491619999999</v>
      </c>
    </row>
    <row r="75" spans="2:28" ht="15">
      <c r="B75" s="33" t="s">
        <v>119</v>
      </c>
      <c r="C75" s="38"/>
      <c r="D75" s="27"/>
      <c r="E75" s="27"/>
      <c r="F75" s="27"/>
      <c r="G75" s="28"/>
      <c r="H75" s="45"/>
      <c r="I75" s="45"/>
      <c r="J75" s="45"/>
      <c r="K75" s="45"/>
      <c r="L75" s="45"/>
      <c r="M75" s="45"/>
      <c r="N75" s="45"/>
      <c r="O75" s="45"/>
      <c r="P75" s="45"/>
      <c r="Q75" s="45"/>
      <c r="R75" s="45"/>
      <c r="S75" s="45"/>
      <c r="T75" s="45"/>
      <c r="U75" s="45"/>
      <c r="V75" s="45"/>
      <c r="W75" s="45"/>
      <c r="X75" s="45"/>
      <c r="Y75" s="45"/>
      <c r="Z75" s="45"/>
      <c r="AA75" s="45"/>
      <c r="AB75" s="45"/>
    </row>
    <row r="76" spans="3:28" ht="15">
      <c r="C76" s="19" t="s">
        <v>120</v>
      </c>
      <c r="D76" s="27" t="s">
        <v>159</v>
      </c>
      <c r="E76" s="27"/>
      <c r="F76" s="27"/>
      <c r="G76" s="28"/>
      <c r="H76" s="45">
        <v>39.86488</v>
      </c>
      <c r="I76" s="45"/>
      <c r="J76" s="45">
        <v>0</v>
      </c>
      <c r="K76" s="45"/>
      <c r="L76" s="45">
        <f aca="true" t="shared" si="12" ref="L76:M79">(P76/7)*12</f>
        <v>2.5339608514285716</v>
      </c>
      <c r="M76" s="45">
        <f t="shared" si="12"/>
        <v>0</v>
      </c>
      <c r="N76" s="45">
        <f>L76+M76</f>
        <v>2.5339608514285716</v>
      </c>
      <c r="O76" s="45"/>
      <c r="P76" s="45">
        <v>1.4781438300000003</v>
      </c>
      <c r="Q76" s="45">
        <v>0</v>
      </c>
      <c r="R76" s="45">
        <v>1.4781438300000003</v>
      </c>
      <c r="S76" s="45"/>
      <c r="T76" s="45"/>
      <c r="U76" s="45"/>
      <c r="V76" s="45"/>
      <c r="W76" s="45"/>
      <c r="X76" s="45"/>
      <c r="Y76" s="45">
        <v>0.73979089</v>
      </c>
      <c r="Z76" s="45">
        <v>0</v>
      </c>
      <c r="AA76" s="45">
        <v>0.7329230800000001</v>
      </c>
      <c r="AB76" s="45">
        <f>SUM(Y76:AA76)</f>
        <v>1.47271397</v>
      </c>
    </row>
    <row r="77" spans="3:28" ht="15">
      <c r="C77" s="19" t="s">
        <v>115</v>
      </c>
      <c r="D77" s="27" t="s">
        <v>159</v>
      </c>
      <c r="E77" s="27"/>
      <c r="F77" s="27"/>
      <c r="G77" s="28"/>
      <c r="H77" s="45">
        <v>60.831756</v>
      </c>
      <c r="I77" s="45"/>
      <c r="J77" s="45">
        <v>0</v>
      </c>
      <c r="K77" s="45"/>
      <c r="L77" s="45">
        <f t="shared" si="12"/>
        <v>1.0759290342857142</v>
      </c>
      <c r="M77" s="45">
        <f t="shared" si="12"/>
        <v>0</v>
      </c>
      <c r="N77" s="45">
        <f>L77+M77</f>
        <v>1.0759290342857142</v>
      </c>
      <c r="O77" s="45"/>
      <c r="P77" s="45">
        <v>0.62762527</v>
      </c>
      <c r="Q77" s="45">
        <v>0</v>
      </c>
      <c r="R77" s="45">
        <v>0.62762527</v>
      </c>
      <c r="S77" s="45"/>
      <c r="T77" s="45"/>
      <c r="U77" s="45"/>
      <c r="V77" s="45"/>
      <c r="W77" s="45"/>
      <c r="X77" s="45"/>
      <c r="Y77" s="45">
        <v>0</v>
      </c>
      <c r="Z77" s="45">
        <v>0</v>
      </c>
      <c r="AA77" s="45">
        <v>0.001057</v>
      </c>
      <c r="AB77" s="45">
        <f>SUM(Y77:AA77)</f>
        <v>0.001057</v>
      </c>
    </row>
    <row r="78" spans="3:28" ht="15">
      <c r="C78" s="19" t="s">
        <v>121</v>
      </c>
      <c r="D78" s="27" t="s">
        <v>159</v>
      </c>
      <c r="E78" s="27"/>
      <c r="F78" s="27"/>
      <c r="G78" s="28"/>
      <c r="H78" s="45">
        <v>0</v>
      </c>
      <c r="I78" s="45"/>
      <c r="J78" s="45">
        <v>0</v>
      </c>
      <c r="K78" s="45"/>
      <c r="L78" s="45">
        <f t="shared" si="12"/>
        <v>0.14912158285714286</v>
      </c>
      <c r="M78" s="45">
        <f t="shared" si="12"/>
        <v>0</v>
      </c>
      <c r="N78" s="45">
        <f>L78+M78</f>
        <v>0.14912158285714286</v>
      </c>
      <c r="O78" s="45"/>
      <c r="P78" s="45">
        <v>0.08698759</v>
      </c>
      <c r="Q78" s="45">
        <v>0</v>
      </c>
      <c r="R78" s="45">
        <v>0.08698759</v>
      </c>
      <c r="S78" s="45"/>
      <c r="T78" s="45"/>
      <c r="U78" s="45"/>
      <c r="V78" s="45"/>
      <c r="W78" s="45"/>
      <c r="X78" s="45"/>
      <c r="Y78" s="45">
        <v>0</v>
      </c>
      <c r="Z78" s="45">
        <v>0</v>
      </c>
      <c r="AA78" s="45">
        <v>0.00929762</v>
      </c>
      <c r="AB78" s="45">
        <f>SUM(Y78:AA78)</f>
        <v>0.00929762</v>
      </c>
    </row>
    <row r="79" spans="3:28" ht="15">
      <c r="C79" s="19" t="s">
        <v>122</v>
      </c>
      <c r="D79" s="27" t="s">
        <v>159</v>
      </c>
      <c r="E79" s="27"/>
      <c r="F79" s="27"/>
      <c r="G79" s="28"/>
      <c r="H79" s="46">
        <v>0</v>
      </c>
      <c r="I79" s="46"/>
      <c r="J79" s="46">
        <v>0</v>
      </c>
      <c r="K79" s="46"/>
      <c r="L79" s="46">
        <f t="shared" si="12"/>
        <v>0.31055485714285713</v>
      </c>
      <c r="M79" s="46">
        <f t="shared" si="12"/>
        <v>0</v>
      </c>
      <c r="N79" s="46">
        <f>L79+M79</f>
        <v>0.31055485714285713</v>
      </c>
      <c r="O79" s="45"/>
      <c r="P79" s="46">
        <v>0.181157</v>
      </c>
      <c r="Q79" s="46">
        <v>0</v>
      </c>
      <c r="R79" s="46">
        <v>0.181157</v>
      </c>
      <c r="S79" s="45"/>
      <c r="T79" s="45"/>
      <c r="U79" s="45"/>
      <c r="V79" s="45"/>
      <c r="W79" s="45"/>
      <c r="X79" s="45"/>
      <c r="Y79" s="46">
        <v>0</v>
      </c>
      <c r="Z79" s="46">
        <v>0</v>
      </c>
      <c r="AA79" s="46">
        <v>0</v>
      </c>
      <c r="AB79" s="46">
        <f>SUM(Y79:AA79)</f>
        <v>0</v>
      </c>
    </row>
    <row r="80" spans="3:28" ht="15">
      <c r="C80" s="34" t="s">
        <v>123</v>
      </c>
      <c r="D80" s="35"/>
      <c r="E80" s="35"/>
      <c r="F80" s="35"/>
      <c r="G80" s="36"/>
      <c r="H80" s="47">
        <f>SUM(H76:H79)</f>
        <v>100.696636</v>
      </c>
      <c r="I80" s="47"/>
      <c r="J80" s="47">
        <f>SUM(J76:J79)</f>
        <v>0</v>
      </c>
      <c r="K80" s="47"/>
      <c r="L80" s="47">
        <f>SUM(L76:L79)</f>
        <v>4.069566325714286</v>
      </c>
      <c r="M80" s="47">
        <f>SUM(M76:M79)</f>
        <v>0</v>
      </c>
      <c r="N80" s="47">
        <f>SUM(N76:N79)</f>
        <v>4.069566325714286</v>
      </c>
      <c r="O80" s="45"/>
      <c r="P80" s="47">
        <f>SUM(P76:P79)</f>
        <v>2.37391369</v>
      </c>
      <c r="Q80" s="47">
        <f>SUM(Q76:Q79)</f>
        <v>0</v>
      </c>
      <c r="R80" s="47">
        <f>SUM(R76:R79)</f>
        <v>2.37391369</v>
      </c>
      <c r="S80" s="45"/>
      <c r="T80" s="45"/>
      <c r="U80" s="45"/>
      <c r="V80" s="45"/>
      <c r="W80" s="45"/>
      <c r="X80" s="45"/>
      <c r="Y80" s="47">
        <f>SUM(Y76:Y79)</f>
        <v>0.73979089</v>
      </c>
      <c r="Z80" s="47">
        <f>SUM(Z76:Z79)</f>
        <v>0</v>
      </c>
      <c r="AA80" s="47">
        <f>SUM(AA76:AA79)</f>
        <v>0.7432777</v>
      </c>
      <c r="AB80" s="47">
        <f>SUM(Y80:AA80)</f>
        <v>1.48306859</v>
      </c>
    </row>
    <row r="81" spans="2:28" ht="15">
      <c r="B81" s="33" t="s">
        <v>124</v>
      </c>
      <c r="D81" s="27"/>
      <c r="E81" s="27"/>
      <c r="F81" s="27"/>
      <c r="G81" s="28"/>
      <c r="H81" s="45"/>
      <c r="I81" s="45"/>
      <c r="J81" s="45"/>
      <c r="K81" s="45"/>
      <c r="L81" s="45"/>
      <c r="M81" s="45"/>
      <c r="N81" s="45"/>
      <c r="O81" s="45"/>
      <c r="P81" s="45"/>
      <c r="Q81" s="45"/>
      <c r="R81" s="45"/>
      <c r="S81" s="45"/>
      <c r="T81" s="45"/>
      <c r="U81" s="45"/>
      <c r="V81" s="45"/>
      <c r="W81" s="45"/>
      <c r="X81" s="45"/>
      <c r="Y81" s="45"/>
      <c r="Z81" s="45"/>
      <c r="AA81" s="45"/>
      <c r="AB81" s="45"/>
    </row>
    <row r="82" spans="3:28" ht="15">
      <c r="C82" s="19" t="s">
        <v>125</v>
      </c>
      <c r="D82" s="27" t="s">
        <v>159</v>
      </c>
      <c r="E82" s="27"/>
      <c r="F82" s="27"/>
      <c r="G82" s="28"/>
      <c r="H82" s="45">
        <v>104.14743700000001</v>
      </c>
      <c r="I82" s="45"/>
      <c r="J82" s="45">
        <v>0</v>
      </c>
      <c r="K82" s="45"/>
      <c r="L82" s="45">
        <f aca="true" t="shared" si="13" ref="L82:M86">(P82/7)*12</f>
        <v>0.3595327028571429</v>
      </c>
      <c r="M82" s="45">
        <f t="shared" si="13"/>
        <v>0</v>
      </c>
      <c r="N82" s="45">
        <f>L82+M82</f>
        <v>0.3595327028571429</v>
      </c>
      <c r="O82" s="45"/>
      <c r="P82" s="45">
        <v>0.20972741</v>
      </c>
      <c r="Q82" s="45">
        <v>0</v>
      </c>
      <c r="R82" s="45">
        <v>0.20972741</v>
      </c>
      <c r="S82" s="45"/>
      <c r="T82" s="45"/>
      <c r="U82" s="45"/>
      <c r="V82" s="45"/>
      <c r="W82" s="45"/>
      <c r="X82" s="45"/>
      <c r="Y82" s="45">
        <v>0.33304564999999997</v>
      </c>
      <c r="Z82" s="45">
        <v>0</v>
      </c>
      <c r="AA82" s="45">
        <v>0.29987474</v>
      </c>
      <c r="AB82" s="45">
        <f>SUM(Y82:AA82)</f>
        <v>0.63292039</v>
      </c>
    </row>
    <row r="83" spans="3:28" ht="15">
      <c r="C83" s="19" t="s">
        <v>126</v>
      </c>
      <c r="D83" s="27" t="s">
        <v>159</v>
      </c>
      <c r="E83" s="27"/>
      <c r="F83" s="27"/>
      <c r="G83" s="28"/>
      <c r="H83" s="45">
        <v>0</v>
      </c>
      <c r="I83" s="45"/>
      <c r="J83" s="45">
        <v>0</v>
      </c>
      <c r="K83" s="45"/>
      <c r="L83" s="45">
        <f t="shared" si="13"/>
        <v>1.0433756742857143</v>
      </c>
      <c r="M83" s="45">
        <f t="shared" si="13"/>
        <v>0</v>
      </c>
      <c r="N83" s="45">
        <f>L83+M83</f>
        <v>1.0433756742857143</v>
      </c>
      <c r="O83" s="45"/>
      <c r="P83" s="45">
        <v>0.60863581</v>
      </c>
      <c r="Q83" s="45">
        <v>0</v>
      </c>
      <c r="R83" s="45">
        <v>0.60863581</v>
      </c>
      <c r="S83" s="45"/>
      <c r="T83" s="45"/>
      <c r="U83" s="45"/>
      <c r="V83" s="45"/>
      <c r="W83" s="45"/>
      <c r="X83" s="45"/>
      <c r="Y83" s="45">
        <v>1.389999999999985E-06</v>
      </c>
      <c r="Z83" s="45">
        <v>0</v>
      </c>
      <c r="AA83" s="45">
        <v>0.010806610000000001</v>
      </c>
      <c r="AB83" s="45">
        <f>SUM(Y83:AA83)</f>
        <v>0.010808000000000002</v>
      </c>
    </row>
    <row r="84" spans="3:28" ht="15">
      <c r="C84" s="19" t="s">
        <v>127</v>
      </c>
      <c r="D84" s="27" t="s">
        <v>159</v>
      </c>
      <c r="E84" s="27"/>
      <c r="F84" s="27"/>
      <c r="G84" s="28"/>
      <c r="H84" s="45">
        <v>14.299275999999999</v>
      </c>
      <c r="I84" s="45"/>
      <c r="J84" s="45">
        <v>3.7853157</v>
      </c>
      <c r="K84" s="45"/>
      <c r="L84" s="45">
        <f t="shared" si="13"/>
        <v>0.02639002285714286</v>
      </c>
      <c r="M84" s="45">
        <f t="shared" si="13"/>
        <v>0</v>
      </c>
      <c r="N84" s="45">
        <f>L84+M84</f>
        <v>0.02639002285714286</v>
      </c>
      <c r="O84" s="45"/>
      <c r="P84" s="45">
        <v>0.01539418</v>
      </c>
      <c r="Q84" s="45">
        <v>0</v>
      </c>
      <c r="R84" s="45">
        <v>0.01539418</v>
      </c>
      <c r="S84" s="45"/>
      <c r="T84" s="45"/>
      <c r="U84" s="45"/>
      <c r="V84" s="45"/>
      <c r="W84" s="45"/>
      <c r="X84" s="45"/>
      <c r="Y84" s="45">
        <v>0</v>
      </c>
      <c r="Z84" s="45">
        <v>0</v>
      </c>
      <c r="AA84" s="45">
        <v>0.021531639999999998</v>
      </c>
      <c r="AB84" s="45">
        <f>SUM(Y84:AA84)</f>
        <v>0.021531639999999998</v>
      </c>
    </row>
    <row r="85" spans="3:28" ht="15">
      <c r="C85" s="19" t="s">
        <v>128</v>
      </c>
      <c r="D85" s="27" t="s">
        <v>159</v>
      </c>
      <c r="E85" s="27"/>
      <c r="F85" s="27"/>
      <c r="G85" s="28"/>
      <c r="H85" s="45">
        <v>5.3</v>
      </c>
      <c r="I85" s="45"/>
      <c r="J85" s="45">
        <v>2.55831069</v>
      </c>
      <c r="K85" s="45"/>
      <c r="L85" s="45">
        <f t="shared" si="13"/>
        <v>-0.2656563257142857</v>
      </c>
      <c r="M85" s="45">
        <f t="shared" si="13"/>
        <v>0</v>
      </c>
      <c r="N85" s="45">
        <f>L85+M85</f>
        <v>-0.2656563257142857</v>
      </c>
      <c r="O85" s="45"/>
      <c r="P85" s="45">
        <v>-0.15496619</v>
      </c>
      <c r="Q85" s="45">
        <v>0</v>
      </c>
      <c r="R85" s="45">
        <v>-0.15496619</v>
      </c>
      <c r="S85" s="45"/>
      <c r="T85" s="45"/>
      <c r="U85" s="45"/>
      <c r="V85" s="45"/>
      <c r="W85" s="45"/>
      <c r="X85" s="45"/>
      <c r="Y85" s="45">
        <v>0</v>
      </c>
      <c r="Z85" s="45">
        <v>0</v>
      </c>
      <c r="AA85" s="45">
        <v>0.5835812099999999</v>
      </c>
      <c r="AB85" s="45">
        <f>SUM(Y85:AA85)</f>
        <v>0.5835812099999999</v>
      </c>
    </row>
    <row r="86" spans="3:28" ht="15">
      <c r="C86" s="39" t="s">
        <v>129</v>
      </c>
      <c r="D86" s="27" t="s">
        <v>159</v>
      </c>
      <c r="E86" s="27"/>
      <c r="F86" s="27"/>
      <c r="G86" s="28"/>
      <c r="H86" s="46">
        <v>13.164431</v>
      </c>
      <c r="I86" s="46"/>
      <c r="J86" s="46">
        <v>7.88409688</v>
      </c>
      <c r="K86" s="46"/>
      <c r="L86" s="46">
        <f t="shared" si="13"/>
        <v>-0.025438748571428575</v>
      </c>
      <c r="M86" s="46">
        <f t="shared" si="13"/>
        <v>0</v>
      </c>
      <c r="N86" s="46">
        <f>L86+M86</f>
        <v>-0.025438748571428575</v>
      </c>
      <c r="O86" s="45"/>
      <c r="P86" s="46">
        <v>-0.01483927</v>
      </c>
      <c r="Q86" s="46">
        <v>0</v>
      </c>
      <c r="R86" s="46">
        <v>-0.01483927</v>
      </c>
      <c r="S86" s="45"/>
      <c r="T86" s="45"/>
      <c r="U86" s="45"/>
      <c r="V86" s="45"/>
      <c r="W86" s="45"/>
      <c r="X86" s="45"/>
      <c r="Y86" s="46">
        <v>0</v>
      </c>
      <c r="Z86" s="46">
        <v>0</v>
      </c>
      <c r="AA86" s="46">
        <v>0</v>
      </c>
      <c r="AB86" s="46">
        <f>SUM(Y86:AA86)</f>
        <v>0</v>
      </c>
    </row>
    <row r="87" spans="3:28" ht="15">
      <c r="C87" s="34" t="s">
        <v>130</v>
      </c>
      <c r="D87" s="35"/>
      <c r="E87" s="35"/>
      <c r="F87" s="35"/>
      <c r="G87" s="36"/>
      <c r="H87" s="47">
        <f>SUM(H82:H86)</f>
        <v>136.911144</v>
      </c>
      <c r="I87" s="47"/>
      <c r="J87" s="47">
        <f>SUM(J82:J86)</f>
        <v>14.22772327</v>
      </c>
      <c r="K87" s="47"/>
      <c r="L87" s="47">
        <f>SUM(L82:L86)</f>
        <v>1.1382033257142858</v>
      </c>
      <c r="M87" s="47">
        <f>SUM(M82:M86)</f>
        <v>0</v>
      </c>
      <c r="N87" s="47">
        <f>SUM(N82:N86)</f>
        <v>1.1382033257142858</v>
      </c>
      <c r="O87" s="45"/>
      <c r="P87" s="47">
        <f>SUM(P82:P86)</f>
        <v>0.66395194</v>
      </c>
      <c r="Q87" s="47">
        <f>SUM(Q82:Q86)</f>
        <v>0</v>
      </c>
      <c r="R87" s="47">
        <f>SUM(R82:R86)</f>
        <v>0.66395194</v>
      </c>
      <c r="S87" s="45"/>
      <c r="T87" s="45"/>
      <c r="U87" s="45"/>
      <c r="V87" s="45"/>
      <c r="W87" s="45"/>
      <c r="X87" s="45"/>
      <c r="Y87" s="47">
        <f>SUM(Y82:Y86)</f>
        <v>0.33304703999999996</v>
      </c>
      <c r="Z87" s="47">
        <f>SUM(Z82:Z86)</f>
        <v>0</v>
      </c>
      <c r="AA87" s="47">
        <f>SUM(AA82:AA86)</f>
        <v>0.9157941999999999</v>
      </c>
      <c r="AB87" s="47">
        <f>SUM(AB82:AB86)</f>
        <v>1.24884124</v>
      </c>
    </row>
    <row r="88" spans="2:28" ht="15">
      <c r="B88" s="33" t="s">
        <v>131</v>
      </c>
      <c r="D88" s="27"/>
      <c r="E88" s="27"/>
      <c r="F88" s="27"/>
      <c r="G88" s="28"/>
      <c r="H88" s="45"/>
      <c r="I88" s="45"/>
      <c r="J88" s="45"/>
      <c r="K88" s="45"/>
      <c r="L88" s="45"/>
      <c r="M88" s="45"/>
      <c r="N88" s="45"/>
      <c r="O88" s="45"/>
      <c r="P88" s="45"/>
      <c r="Q88" s="45"/>
      <c r="R88" s="45"/>
      <c r="S88" s="45"/>
      <c r="T88" s="45"/>
      <c r="U88" s="45"/>
      <c r="V88" s="45"/>
      <c r="W88" s="45"/>
      <c r="X88" s="45"/>
      <c r="Y88" s="45"/>
      <c r="Z88" s="45"/>
      <c r="AA88" s="45"/>
      <c r="AB88" s="45"/>
    </row>
    <row r="89" spans="3:28" ht="15">
      <c r="C89" s="19" t="s">
        <v>132</v>
      </c>
      <c r="D89" s="27" t="s">
        <v>159</v>
      </c>
      <c r="E89" s="27"/>
      <c r="F89" s="27"/>
      <c r="G89" s="28"/>
      <c r="H89" s="45">
        <v>273.43483749</v>
      </c>
      <c r="I89" s="45"/>
      <c r="J89" s="45">
        <v>15.64392145</v>
      </c>
      <c r="K89" s="45"/>
      <c r="L89" s="45">
        <f>(P89/7)*12</f>
        <v>1.597817297142857</v>
      </c>
      <c r="M89" s="45">
        <f>(Q89/7)*12</f>
        <v>0</v>
      </c>
      <c r="N89" s="45">
        <f>L89+M89</f>
        <v>1.597817297142857</v>
      </c>
      <c r="O89" s="45"/>
      <c r="P89" s="45">
        <v>0.9320600899999998</v>
      </c>
      <c r="Q89" s="45">
        <v>0</v>
      </c>
      <c r="R89" s="45">
        <v>0.9320600899999998</v>
      </c>
      <c r="S89" s="45"/>
      <c r="T89" s="45"/>
      <c r="U89" s="45"/>
      <c r="V89" s="45"/>
      <c r="W89" s="45"/>
      <c r="X89" s="45"/>
      <c r="Y89" s="45">
        <v>0</v>
      </c>
      <c r="Z89" s="45">
        <v>0</v>
      </c>
      <c r="AA89" s="45">
        <v>0.16425195999999997</v>
      </c>
      <c r="AB89" s="45">
        <f>SUM(Y89:AA89)</f>
        <v>0.16425195999999997</v>
      </c>
    </row>
    <row r="90" spans="3:28" ht="15">
      <c r="C90" s="19" t="s">
        <v>133</v>
      </c>
      <c r="D90" s="27" t="s">
        <v>159</v>
      </c>
      <c r="E90" s="27"/>
      <c r="F90" s="27"/>
      <c r="G90" s="28"/>
      <c r="H90" s="46">
        <v>11.74984349</v>
      </c>
      <c r="I90" s="46"/>
      <c r="J90" s="46">
        <v>5.49397279</v>
      </c>
      <c r="K90" s="46"/>
      <c r="L90" s="46">
        <f>(P90/7)*12</f>
        <v>-0.017314285714285713</v>
      </c>
      <c r="M90" s="46">
        <f>(Q90/7)*12</f>
        <v>0</v>
      </c>
      <c r="N90" s="46">
        <f>L90+M90</f>
        <v>-0.017314285714285713</v>
      </c>
      <c r="O90" s="45"/>
      <c r="P90" s="46">
        <v>-0.0101</v>
      </c>
      <c r="Q90" s="46">
        <v>0</v>
      </c>
      <c r="R90" s="46">
        <v>-0.0101</v>
      </c>
      <c r="S90" s="45"/>
      <c r="T90" s="45"/>
      <c r="U90" s="45"/>
      <c r="V90" s="45"/>
      <c r="W90" s="45"/>
      <c r="X90" s="45"/>
      <c r="Y90" s="46">
        <v>0</v>
      </c>
      <c r="Z90" s="46">
        <v>0</v>
      </c>
      <c r="AA90" s="46">
        <v>0.09627604</v>
      </c>
      <c r="AB90" s="46">
        <f>SUM(Y90:AA90)</f>
        <v>0.09627604</v>
      </c>
    </row>
    <row r="91" spans="3:28" ht="15">
      <c r="C91" s="34" t="s">
        <v>134</v>
      </c>
      <c r="D91" s="35"/>
      <c r="E91" s="35"/>
      <c r="F91" s="35"/>
      <c r="G91" s="36"/>
      <c r="H91" s="47">
        <f>SUM(H89:H90)</f>
        <v>285.18468098</v>
      </c>
      <c r="I91" s="47"/>
      <c r="J91" s="47">
        <f>SUM(J89:J90)</f>
        <v>21.13789424</v>
      </c>
      <c r="K91" s="47"/>
      <c r="L91" s="47">
        <f>SUM(L89:L90)</f>
        <v>1.5805030114285714</v>
      </c>
      <c r="M91" s="47">
        <f>SUM(M89:M90)</f>
        <v>0</v>
      </c>
      <c r="N91" s="47">
        <f>SUM(N89:N90)</f>
        <v>1.5805030114285714</v>
      </c>
      <c r="O91" s="45"/>
      <c r="P91" s="47">
        <f>SUM(P89:P90)</f>
        <v>0.9219600899999998</v>
      </c>
      <c r="Q91" s="47">
        <f>SUM(Q89:Q90)</f>
        <v>0</v>
      </c>
      <c r="R91" s="47">
        <f>SUM(R89:R90)</f>
        <v>0.9219600899999998</v>
      </c>
      <c r="S91" s="45"/>
      <c r="T91" s="45"/>
      <c r="U91" s="45"/>
      <c r="V91" s="45"/>
      <c r="W91" s="45"/>
      <c r="X91" s="45"/>
      <c r="Y91" s="47">
        <f>SUM(Y89:Y90)</f>
        <v>0</v>
      </c>
      <c r="Z91" s="47">
        <f>SUM(Z89:Z90)</f>
        <v>0</v>
      </c>
      <c r="AA91" s="47">
        <f>SUM(AA89:AA90)</f>
        <v>0.260528</v>
      </c>
      <c r="AB91" s="47">
        <f>SUM(Y91:AA91)</f>
        <v>0.260528</v>
      </c>
    </row>
    <row r="92" spans="2:28" ht="15">
      <c r="B92" s="33" t="s">
        <v>135</v>
      </c>
      <c r="D92" s="27"/>
      <c r="E92" s="27"/>
      <c r="F92" s="27"/>
      <c r="G92" s="28"/>
      <c r="H92" s="45"/>
      <c r="I92" s="45"/>
      <c r="J92" s="45"/>
      <c r="K92" s="45"/>
      <c r="L92" s="45"/>
      <c r="M92" s="45"/>
      <c r="N92" s="45"/>
      <c r="O92" s="45"/>
      <c r="P92" s="45"/>
      <c r="Q92" s="45"/>
      <c r="R92" s="45"/>
      <c r="S92" s="45"/>
      <c r="T92" s="45"/>
      <c r="U92" s="45"/>
      <c r="V92" s="45"/>
      <c r="W92" s="45"/>
      <c r="X92" s="45"/>
      <c r="Y92" s="45"/>
      <c r="Z92" s="45"/>
      <c r="AA92" s="45"/>
      <c r="AB92" s="45"/>
    </row>
    <row r="93" spans="3:28" ht="15">
      <c r="C93" s="19" t="s">
        <v>136</v>
      </c>
      <c r="D93" s="27" t="s">
        <v>161</v>
      </c>
      <c r="E93" s="27"/>
      <c r="F93" s="27"/>
      <c r="G93" s="28"/>
      <c r="H93" s="45">
        <v>2.4823209999999998</v>
      </c>
      <c r="I93" s="45"/>
      <c r="J93" s="45">
        <v>2.4823255300000002</v>
      </c>
      <c r="K93" s="45"/>
      <c r="L93" s="45">
        <f aca="true" t="shared" si="14" ref="L93:M96">(P93/7)*12</f>
        <v>0</v>
      </c>
      <c r="M93" s="45">
        <f t="shared" si="14"/>
        <v>0</v>
      </c>
      <c r="N93" s="45">
        <f>0-(L93+M93)</f>
        <v>0</v>
      </c>
      <c r="O93" s="45"/>
      <c r="P93" s="45">
        <v>0</v>
      </c>
      <c r="Q93" s="45">
        <v>0</v>
      </c>
      <c r="R93" s="45">
        <v>0</v>
      </c>
      <c r="S93" s="45"/>
      <c r="T93" s="45"/>
      <c r="U93" s="45"/>
      <c r="V93" s="45"/>
      <c r="W93" s="45"/>
      <c r="X93" s="45"/>
      <c r="Y93" s="45">
        <v>0</v>
      </c>
      <c r="Z93" s="45">
        <v>0</v>
      </c>
      <c r="AA93" s="45">
        <v>0</v>
      </c>
      <c r="AB93" s="45">
        <f aca="true" t="shared" si="15" ref="AB93:AB99">SUM(Y93:AA93)</f>
        <v>0</v>
      </c>
    </row>
    <row r="94" spans="3:28" ht="15">
      <c r="C94" s="19" t="s">
        <v>137</v>
      </c>
      <c r="D94" s="27" t="s">
        <v>161</v>
      </c>
      <c r="E94" s="27"/>
      <c r="F94" s="27"/>
      <c r="G94" s="28"/>
      <c r="H94" s="45">
        <v>0.323604</v>
      </c>
      <c r="I94" s="45"/>
      <c r="J94" s="45">
        <v>0</v>
      </c>
      <c r="K94" s="45"/>
      <c r="L94" s="45">
        <f t="shared" si="14"/>
        <v>0.004068411428571428</v>
      </c>
      <c r="M94" s="45">
        <f t="shared" si="14"/>
        <v>0</v>
      </c>
      <c r="N94" s="45">
        <f>0-(L94+M94)</f>
        <v>-0.004068411428571428</v>
      </c>
      <c r="O94" s="45"/>
      <c r="P94" s="45">
        <v>0.00237324</v>
      </c>
      <c r="Q94" s="45">
        <v>0</v>
      </c>
      <c r="R94" s="45">
        <v>-0.00237324</v>
      </c>
      <c r="S94" s="45"/>
      <c r="T94" s="45"/>
      <c r="U94" s="45"/>
      <c r="V94" s="45"/>
      <c r="W94" s="45"/>
      <c r="X94" s="45"/>
      <c r="Y94" s="45">
        <v>0.3297330700000001</v>
      </c>
      <c r="Z94" s="45">
        <v>0</v>
      </c>
      <c r="AA94" s="45">
        <v>0.6978393199999999</v>
      </c>
      <c r="AB94" s="45">
        <f t="shared" si="15"/>
        <v>1.02757239</v>
      </c>
    </row>
    <row r="95" spans="3:28" ht="15">
      <c r="C95" s="19" t="s">
        <v>125</v>
      </c>
      <c r="D95" s="27" t="s">
        <v>161</v>
      </c>
      <c r="E95" s="27"/>
      <c r="F95" s="27"/>
      <c r="G95" s="28"/>
      <c r="H95" s="45">
        <v>0</v>
      </c>
      <c r="I95" s="45"/>
      <c r="J95" s="45">
        <v>10.60950136</v>
      </c>
      <c r="K95" s="45"/>
      <c r="L95" s="45">
        <f t="shared" si="14"/>
        <v>0</v>
      </c>
      <c r="M95" s="45">
        <f t="shared" si="14"/>
        <v>0</v>
      </c>
      <c r="N95" s="45">
        <f>0-(L95+M95)</f>
        <v>0</v>
      </c>
      <c r="O95" s="45"/>
      <c r="P95" s="45">
        <v>0</v>
      </c>
      <c r="Q95" s="45">
        <v>0</v>
      </c>
      <c r="R95" s="45">
        <v>0</v>
      </c>
      <c r="S95" s="45"/>
      <c r="T95" s="45"/>
      <c r="U95" s="45"/>
      <c r="V95" s="45"/>
      <c r="W95" s="45"/>
      <c r="X95" s="45"/>
      <c r="Y95" s="45">
        <v>0</v>
      </c>
      <c r="Z95" s="45">
        <v>0</v>
      </c>
      <c r="AA95" s="45">
        <v>5.076E-05</v>
      </c>
      <c r="AB95" s="45">
        <f t="shared" si="15"/>
        <v>5.076E-05</v>
      </c>
    </row>
    <row r="96" spans="3:28" ht="15">
      <c r="C96" s="19" t="s">
        <v>138</v>
      </c>
      <c r="D96" s="27" t="s">
        <v>161</v>
      </c>
      <c r="E96" s="27"/>
      <c r="F96" s="27"/>
      <c r="G96" s="28"/>
      <c r="H96" s="46">
        <v>0</v>
      </c>
      <c r="I96" s="46"/>
      <c r="J96" s="46">
        <v>26.93132447</v>
      </c>
      <c r="K96" s="46"/>
      <c r="L96" s="46">
        <f t="shared" si="14"/>
        <v>0</v>
      </c>
      <c r="M96" s="46">
        <f t="shared" si="14"/>
        <v>0</v>
      </c>
      <c r="N96" s="46">
        <f>0-(L96+M96)</f>
        <v>0</v>
      </c>
      <c r="O96" s="45"/>
      <c r="P96" s="46">
        <v>0</v>
      </c>
      <c r="Q96" s="46">
        <v>0</v>
      </c>
      <c r="R96" s="46">
        <v>0</v>
      </c>
      <c r="S96" s="45"/>
      <c r="T96" s="45"/>
      <c r="U96" s="45"/>
      <c r="V96" s="45"/>
      <c r="W96" s="45"/>
      <c r="X96" s="45"/>
      <c r="Y96" s="46">
        <v>0</v>
      </c>
      <c r="Z96" s="46">
        <v>0</v>
      </c>
      <c r="AA96" s="46">
        <v>0.09076348</v>
      </c>
      <c r="AB96" s="46">
        <f t="shared" si="15"/>
        <v>0.09076348</v>
      </c>
    </row>
    <row r="97" spans="3:28" ht="15">
      <c r="C97" s="34" t="s">
        <v>139</v>
      </c>
      <c r="D97" s="35"/>
      <c r="E97" s="35"/>
      <c r="F97" s="35"/>
      <c r="G97" s="36"/>
      <c r="H97" s="47">
        <f>SUM(H93:H96)</f>
        <v>2.805925</v>
      </c>
      <c r="I97" s="47"/>
      <c r="J97" s="47">
        <f>SUM(J93:J96)</f>
        <v>40.02315136</v>
      </c>
      <c r="K97" s="47"/>
      <c r="L97" s="47">
        <f>SUM(L93:L96)</f>
        <v>0.004068411428571428</v>
      </c>
      <c r="M97" s="47">
        <f>SUM(M93:M96)</f>
        <v>0</v>
      </c>
      <c r="N97" s="47">
        <f>SUM(N93:N96)</f>
        <v>-0.004068411428571428</v>
      </c>
      <c r="O97" s="45"/>
      <c r="P97" s="47">
        <f>SUM(P93:P96)</f>
        <v>0.00237324</v>
      </c>
      <c r="Q97" s="47">
        <f>SUM(Q93:Q96)</f>
        <v>0</v>
      </c>
      <c r="R97" s="47">
        <f>SUM(R93:R96)</f>
        <v>-0.00237324</v>
      </c>
      <c r="S97" s="45"/>
      <c r="T97" s="45"/>
      <c r="U97" s="45"/>
      <c r="V97" s="45"/>
      <c r="W97" s="45"/>
      <c r="X97" s="45"/>
      <c r="Y97" s="47">
        <f>SUM(Y93:Y96)</f>
        <v>0.3297330700000001</v>
      </c>
      <c r="Z97" s="47">
        <f>SUM(Z93:Z96)</f>
        <v>0</v>
      </c>
      <c r="AA97" s="47">
        <f>SUM(AA93:AA96)</f>
        <v>0.78865356</v>
      </c>
      <c r="AB97" s="47">
        <f t="shared" si="15"/>
        <v>1.11838663</v>
      </c>
    </row>
    <row r="98" spans="3:28" ht="3.75" customHeight="1">
      <c r="C98" s="34"/>
      <c r="D98" s="35"/>
      <c r="E98" s="35"/>
      <c r="F98" s="35"/>
      <c r="G98" s="36"/>
      <c r="H98" s="51"/>
      <c r="I98" s="51"/>
      <c r="J98" s="51"/>
      <c r="K98" s="51"/>
      <c r="L98" s="51"/>
      <c r="M98" s="51"/>
      <c r="N98" s="51"/>
      <c r="O98" s="45"/>
      <c r="P98" s="51"/>
      <c r="Q98" s="51"/>
      <c r="R98" s="51"/>
      <c r="S98" s="45"/>
      <c r="T98" s="45"/>
      <c r="U98" s="45"/>
      <c r="V98" s="45"/>
      <c r="W98" s="45"/>
      <c r="X98" s="45"/>
      <c r="Y98" s="46"/>
      <c r="Z98" s="46"/>
      <c r="AA98" s="46"/>
      <c r="AB98" s="46">
        <f t="shared" si="15"/>
        <v>0</v>
      </c>
    </row>
    <row r="99" spans="3:28" ht="15">
      <c r="C99" s="37" t="s">
        <v>140</v>
      </c>
      <c r="D99" s="27"/>
      <c r="E99" s="27"/>
      <c r="F99" s="27"/>
      <c r="G99" s="28"/>
      <c r="H99" s="48">
        <f>H97+H91+H87+H80+H74</f>
        <v>2276.83845498</v>
      </c>
      <c r="I99" s="48"/>
      <c r="J99" s="48">
        <f>J97+J91+J87+J80+J74</f>
        <v>75.67776887000001</v>
      </c>
      <c r="K99" s="48"/>
      <c r="L99" s="48">
        <f>L97+L91+L87+L80+L74</f>
        <v>17.665044377142856</v>
      </c>
      <c r="M99" s="48">
        <f>M97+M91+M87+M80+M74</f>
        <v>0</v>
      </c>
      <c r="N99" s="48">
        <f>N97+N91+N87+N80+N74</f>
        <v>17.656907554285716</v>
      </c>
      <c r="O99" s="45"/>
      <c r="P99" s="48">
        <v>10.30460922</v>
      </c>
      <c r="Q99" s="48">
        <v>0</v>
      </c>
      <c r="R99" s="48">
        <v>10.29986274</v>
      </c>
      <c r="S99" s="45"/>
      <c r="T99" s="45"/>
      <c r="U99" s="45"/>
      <c r="V99" s="45"/>
      <c r="W99" s="45"/>
      <c r="X99" s="45"/>
      <c r="Y99" s="48">
        <f>Y97+Y91+Y87+Y80+Y74</f>
        <v>1.7272460600000001</v>
      </c>
      <c r="Z99" s="48">
        <f>Z97+Z91+Z87+Z80+Z74</f>
        <v>0</v>
      </c>
      <c r="AA99" s="48">
        <f>AA97+AA91+AA87+AA80+AA74</f>
        <v>7.758070019999999</v>
      </c>
      <c r="AB99" s="48">
        <f t="shared" si="15"/>
        <v>9.485316079999999</v>
      </c>
    </row>
    <row r="100" spans="4:28" ht="3" customHeight="1">
      <c r="D100" s="27"/>
      <c r="E100" s="27"/>
      <c r="F100" s="27"/>
      <c r="G100" s="28"/>
      <c r="H100" s="45"/>
      <c r="I100" s="45"/>
      <c r="J100" s="45"/>
      <c r="K100" s="45"/>
      <c r="L100" s="45"/>
      <c r="M100" s="45"/>
      <c r="N100" s="45"/>
      <c r="O100" s="45"/>
      <c r="P100" s="45"/>
      <c r="Q100" s="45"/>
      <c r="R100" s="45"/>
      <c r="S100" s="45"/>
      <c r="T100" s="45"/>
      <c r="U100" s="45"/>
      <c r="V100" s="45"/>
      <c r="W100" s="45"/>
      <c r="X100" s="45"/>
      <c r="Y100" s="45"/>
      <c r="Z100" s="45"/>
      <c r="AA100" s="45"/>
      <c r="AB100" s="45"/>
    </row>
    <row r="101" spans="1:28" ht="15">
      <c r="A101" s="29" t="s">
        <v>141</v>
      </c>
      <c r="B101" s="30"/>
      <c r="C101" s="30"/>
      <c r="D101" s="31"/>
      <c r="E101" s="31"/>
      <c r="F101" s="31"/>
      <c r="G101" s="32"/>
      <c r="H101" s="49"/>
      <c r="I101" s="49"/>
      <c r="J101" s="49"/>
      <c r="K101" s="49"/>
      <c r="L101" s="49"/>
      <c r="M101" s="49"/>
      <c r="N101" s="49"/>
      <c r="O101" s="50"/>
      <c r="P101" s="49"/>
      <c r="Q101" s="49"/>
      <c r="R101" s="49"/>
      <c r="S101" s="49"/>
      <c r="T101" s="49"/>
      <c r="U101" s="49"/>
      <c r="V101" s="49"/>
      <c r="W101" s="49"/>
      <c r="X101" s="49"/>
      <c r="Y101" s="49"/>
      <c r="Z101" s="49"/>
      <c r="AA101" s="49"/>
      <c r="AB101" s="49"/>
    </row>
    <row r="102" spans="2:28" ht="15">
      <c r="B102" s="33" t="s">
        <v>142</v>
      </c>
      <c r="D102" s="27"/>
      <c r="E102" s="27"/>
      <c r="F102" s="27"/>
      <c r="G102" s="28"/>
      <c r="H102" s="45"/>
      <c r="I102" s="45"/>
      <c r="J102" s="45"/>
      <c r="K102" s="45"/>
      <c r="L102" s="45"/>
      <c r="M102" s="45"/>
      <c r="N102" s="45"/>
      <c r="O102" s="45"/>
      <c r="P102" s="45"/>
      <c r="Q102" s="45"/>
      <c r="R102" s="45"/>
      <c r="S102" s="45"/>
      <c r="T102" s="45"/>
      <c r="U102" s="45"/>
      <c r="V102" s="45"/>
      <c r="W102" s="45"/>
      <c r="X102" s="45"/>
      <c r="Y102" s="45"/>
      <c r="Z102" s="45"/>
      <c r="AA102" s="45"/>
      <c r="AB102" s="45"/>
    </row>
    <row r="103" spans="3:28" ht="15">
      <c r="C103" s="19" t="s">
        <v>143</v>
      </c>
      <c r="D103" s="27" t="s">
        <v>160</v>
      </c>
      <c r="E103" s="27"/>
      <c r="F103" s="27"/>
      <c r="G103" s="28"/>
      <c r="H103" s="45">
        <v>1555.80373</v>
      </c>
      <c r="I103" s="45"/>
      <c r="J103" s="45">
        <v>4.7135313100000005</v>
      </c>
      <c r="K103" s="45"/>
      <c r="L103" s="45">
        <f aca="true" t="shared" si="16" ref="L103:M105">(P103/7)*12</f>
        <v>3.920191902857143</v>
      </c>
      <c r="M103" s="45">
        <f t="shared" si="16"/>
        <v>-9.429829285714286</v>
      </c>
      <c r="N103" s="45">
        <f>L103+M103</f>
        <v>-5.509637382857143</v>
      </c>
      <c r="O103" s="45"/>
      <c r="P103" s="45">
        <v>2.2867786100000003</v>
      </c>
      <c r="Q103" s="45">
        <v>-5.50073375</v>
      </c>
      <c r="R103" s="45">
        <v>-3.21395514</v>
      </c>
      <c r="S103" s="45"/>
      <c r="T103" s="45"/>
      <c r="U103" s="45"/>
      <c r="V103" s="45"/>
      <c r="W103" s="45"/>
      <c r="X103" s="45"/>
      <c r="Y103" s="45">
        <v>0.6730902000000001</v>
      </c>
      <c r="Z103" s="45">
        <v>0</v>
      </c>
      <c r="AA103" s="45">
        <v>0.48845609</v>
      </c>
      <c r="AB103" s="45">
        <f>SUM(Y103:AA103)</f>
        <v>1.16154629</v>
      </c>
    </row>
    <row r="104" spans="3:28" ht="15">
      <c r="C104" s="19" t="s">
        <v>132</v>
      </c>
      <c r="D104" s="27" t="s">
        <v>161</v>
      </c>
      <c r="E104" s="27"/>
      <c r="F104" s="27"/>
      <c r="G104" s="28"/>
      <c r="H104" s="45">
        <v>166.865593</v>
      </c>
      <c r="I104" s="45"/>
      <c r="J104" s="45">
        <v>0</v>
      </c>
      <c r="K104" s="45"/>
      <c r="L104" s="45">
        <f t="shared" si="16"/>
        <v>0.8144327142857144</v>
      </c>
      <c r="M104" s="45">
        <f t="shared" si="16"/>
        <v>0</v>
      </c>
      <c r="N104" s="45">
        <f>L104+M104</f>
        <v>0.8144327142857144</v>
      </c>
      <c r="O104" s="45"/>
      <c r="P104" s="45">
        <v>0.4750857500000001</v>
      </c>
      <c r="Q104" s="45">
        <v>0</v>
      </c>
      <c r="R104" s="45">
        <v>0.4750857500000001</v>
      </c>
      <c r="S104" s="45"/>
      <c r="T104" s="45"/>
      <c r="U104" s="45"/>
      <c r="V104" s="45"/>
      <c r="W104" s="45"/>
      <c r="X104" s="45"/>
      <c r="Y104" s="45">
        <v>0</v>
      </c>
      <c r="Z104" s="45">
        <v>0</v>
      </c>
      <c r="AA104" s="45">
        <v>3.900000000000001E-07</v>
      </c>
      <c r="AB104" s="45">
        <f>SUM(Y104:AA104)</f>
        <v>3.900000000000001E-07</v>
      </c>
    </row>
    <row r="105" spans="3:28" ht="15">
      <c r="C105" s="19" t="s">
        <v>144</v>
      </c>
      <c r="D105" s="27" t="s">
        <v>161</v>
      </c>
      <c r="E105" s="27"/>
      <c r="F105" s="27"/>
      <c r="G105" s="28"/>
      <c r="H105" s="46">
        <v>0</v>
      </c>
      <c r="I105" s="46"/>
      <c r="J105" s="46">
        <v>0</v>
      </c>
      <c r="K105" s="46"/>
      <c r="L105" s="46">
        <f t="shared" si="16"/>
        <v>0</v>
      </c>
      <c r="M105" s="46">
        <f t="shared" si="16"/>
        <v>0</v>
      </c>
      <c r="N105" s="46">
        <f>L105+M105</f>
        <v>0</v>
      </c>
      <c r="O105" s="45"/>
      <c r="P105" s="46">
        <v>0</v>
      </c>
      <c r="Q105" s="46">
        <v>0</v>
      </c>
      <c r="R105" s="46">
        <v>0</v>
      </c>
      <c r="S105" s="45"/>
      <c r="T105" s="45"/>
      <c r="U105" s="45"/>
      <c r="V105" s="45"/>
      <c r="W105" s="45"/>
      <c r="X105" s="45"/>
      <c r="Y105" s="46">
        <v>0</v>
      </c>
      <c r="Z105" s="46">
        <v>0</v>
      </c>
      <c r="AA105" s="46">
        <v>-0.005876999999999993</v>
      </c>
      <c r="AB105" s="46">
        <f>SUM(Y105:AA105)</f>
        <v>-0.005876999999999993</v>
      </c>
    </row>
    <row r="106" spans="3:28" ht="15">
      <c r="C106" s="34" t="s">
        <v>145</v>
      </c>
      <c r="D106" s="35"/>
      <c r="E106" s="35"/>
      <c r="F106" s="35"/>
      <c r="G106" s="36"/>
      <c r="H106" s="47">
        <f>SUM(H103:H105)</f>
        <v>1722.669323</v>
      </c>
      <c r="I106" s="47"/>
      <c r="J106" s="47">
        <f>SUM(J103:J105)</f>
        <v>4.7135313100000005</v>
      </c>
      <c r="K106" s="47"/>
      <c r="L106" s="47">
        <f>SUM(L103:L105)</f>
        <v>4.734624617142857</v>
      </c>
      <c r="M106" s="47">
        <f>SUM(M103:M105)</f>
        <v>-9.429829285714286</v>
      </c>
      <c r="N106" s="47">
        <f>SUM(N103:N105)</f>
        <v>-4.695204668571429</v>
      </c>
      <c r="O106" s="45"/>
      <c r="P106" s="47">
        <f>SUM(P103:P105)</f>
        <v>2.7618643600000006</v>
      </c>
      <c r="Q106" s="47">
        <f>SUM(Q103:Q105)</f>
        <v>-5.50073375</v>
      </c>
      <c r="R106" s="47">
        <f>SUM(R103:R105)</f>
        <v>-2.7388693899999996</v>
      </c>
      <c r="S106" s="45"/>
      <c r="T106" s="45"/>
      <c r="U106" s="45"/>
      <c r="V106" s="45"/>
      <c r="W106" s="45"/>
      <c r="X106" s="45"/>
      <c r="Y106" s="47">
        <f>SUM(Y103:Y105)</f>
        <v>0.6730902000000001</v>
      </c>
      <c r="Z106" s="47">
        <f>SUM(Z103:Z105)</f>
        <v>0</v>
      </c>
      <c r="AA106" s="47">
        <f>SUM(AA103:AA105)</f>
        <v>0.48257948000000006</v>
      </c>
      <c r="AB106" s="47">
        <f>SUM(Y106:AA106)</f>
        <v>1.1556696800000001</v>
      </c>
    </row>
    <row r="107" spans="2:28" ht="15">
      <c r="B107" s="33" t="s">
        <v>137</v>
      </c>
      <c r="D107" s="27"/>
      <c r="E107" s="27"/>
      <c r="F107" s="27"/>
      <c r="G107" s="28"/>
      <c r="H107" s="45"/>
      <c r="I107" s="45"/>
      <c r="J107" s="45"/>
      <c r="K107" s="45"/>
      <c r="L107" s="45"/>
      <c r="M107" s="45"/>
      <c r="N107" s="45"/>
      <c r="O107" s="45"/>
      <c r="P107" s="45"/>
      <c r="Q107" s="45"/>
      <c r="R107" s="45"/>
      <c r="S107" s="45"/>
      <c r="T107" s="45"/>
      <c r="U107" s="45"/>
      <c r="V107" s="45"/>
      <c r="W107" s="45"/>
      <c r="X107" s="45"/>
      <c r="Y107" s="45"/>
      <c r="Z107" s="45"/>
      <c r="AA107" s="45"/>
      <c r="AB107" s="45"/>
    </row>
    <row r="108" spans="3:28" ht="15">
      <c r="C108" s="19" t="s">
        <v>137</v>
      </c>
      <c r="D108" s="27" t="s">
        <v>159</v>
      </c>
      <c r="E108" s="27"/>
      <c r="F108" s="27"/>
      <c r="G108" s="28"/>
      <c r="H108" s="45">
        <v>722.342458</v>
      </c>
      <c r="I108" s="45"/>
      <c r="J108" s="45">
        <v>0</v>
      </c>
      <c r="K108" s="45"/>
      <c r="L108" s="45">
        <f aca="true" t="shared" si="17" ref="L108:L113">(P108/7)*12</f>
        <v>4.418966434285714</v>
      </c>
      <c r="M108" s="45">
        <f aca="true" t="shared" si="18" ref="M108:M113">(Q108/7)*12</f>
        <v>0</v>
      </c>
      <c r="N108" s="45">
        <f aca="true" t="shared" si="19" ref="N108:N113">L108+M108</f>
        <v>4.418966434285714</v>
      </c>
      <c r="O108" s="45"/>
      <c r="P108" s="45">
        <v>2.57773042</v>
      </c>
      <c r="Q108" s="45">
        <v>0</v>
      </c>
      <c r="R108" s="45">
        <v>2.57773042</v>
      </c>
      <c r="S108" s="45"/>
      <c r="T108" s="45"/>
      <c r="U108" s="45"/>
      <c r="V108" s="45"/>
      <c r="W108" s="45"/>
      <c r="X108" s="45"/>
      <c r="Y108" s="45">
        <v>1.47386707</v>
      </c>
      <c r="Z108" s="45">
        <v>0</v>
      </c>
      <c r="AA108" s="45">
        <v>1.45054649</v>
      </c>
      <c r="AB108" s="45">
        <f aca="true" t="shared" si="20" ref="AB108:AB114">SUM(Y108:AA108)</f>
        <v>2.92441356</v>
      </c>
    </row>
    <row r="109" spans="3:28" ht="15">
      <c r="C109" s="19" t="s">
        <v>146</v>
      </c>
      <c r="D109" s="27" t="s">
        <v>159</v>
      </c>
      <c r="E109" s="27"/>
      <c r="F109" s="27"/>
      <c r="G109" s="28"/>
      <c r="H109" s="45">
        <v>0</v>
      </c>
      <c r="I109" s="45"/>
      <c r="J109" s="45">
        <v>0</v>
      </c>
      <c r="K109" s="45"/>
      <c r="L109" s="45">
        <f t="shared" si="17"/>
        <v>0</v>
      </c>
      <c r="M109" s="45">
        <f t="shared" si="18"/>
        <v>0</v>
      </c>
      <c r="N109" s="45">
        <f t="shared" si="19"/>
        <v>0</v>
      </c>
      <c r="O109" s="45"/>
      <c r="P109" s="45">
        <v>0</v>
      </c>
      <c r="Q109" s="45">
        <v>0</v>
      </c>
      <c r="R109" s="45">
        <v>0</v>
      </c>
      <c r="S109" s="45"/>
      <c r="T109" s="45"/>
      <c r="U109" s="45"/>
      <c r="V109" s="45"/>
      <c r="W109" s="45"/>
      <c r="X109" s="45"/>
      <c r="Y109" s="45">
        <v>0</v>
      </c>
      <c r="Z109" s="45">
        <v>0</v>
      </c>
      <c r="AA109" s="45">
        <v>0</v>
      </c>
      <c r="AB109" s="45">
        <f t="shared" si="20"/>
        <v>0</v>
      </c>
    </row>
    <row r="110" spans="3:28" ht="15">
      <c r="C110" s="19" t="s">
        <v>147</v>
      </c>
      <c r="D110" s="27" t="s">
        <v>159</v>
      </c>
      <c r="E110" s="27"/>
      <c r="F110" s="27"/>
      <c r="G110" s="28"/>
      <c r="H110" s="45">
        <v>52.847164</v>
      </c>
      <c r="I110" s="45"/>
      <c r="J110" s="45">
        <v>0</v>
      </c>
      <c r="K110" s="45"/>
      <c r="L110" s="45">
        <f t="shared" si="17"/>
        <v>0.2769097371428571</v>
      </c>
      <c r="M110" s="45">
        <f t="shared" si="18"/>
        <v>0</v>
      </c>
      <c r="N110" s="45">
        <f t="shared" si="19"/>
        <v>0.2769097371428571</v>
      </c>
      <c r="O110" s="45"/>
      <c r="P110" s="45">
        <v>0.16153067999999998</v>
      </c>
      <c r="Q110" s="45">
        <v>0</v>
      </c>
      <c r="R110" s="45">
        <v>0.16153067999999998</v>
      </c>
      <c r="S110" s="45"/>
      <c r="T110" s="45"/>
      <c r="U110" s="45"/>
      <c r="V110" s="45"/>
      <c r="W110" s="45"/>
      <c r="X110" s="45"/>
      <c r="Y110" s="45">
        <v>0</v>
      </c>
      <c r="Z110" s="45">
        <v>0</v>
      </c>
      <c r="AA110" s="45">
        <v>0.02164881</v>
      </c>
      <c r="AB110" s="45">
        <f t="shared" si="20"/>
        <v>0.02164881</v>
      </c>
    </row>
    <row r="111" spans="3:28" ht="15">
      <c r="C111" s="19" t="s">
        <v>148</v>
      </c>
      <c r="D111" s="27" t="s">
        <v>159</v>
      </c>
      <c r="E111" s="27"/>
      <c r="F111" s="27"/>
      <c r="G111" s="28"/>
      <c r="H111" s="45">
        <v>0</v>
      </c>
      <c r="I111" s="45"/>
      <c r="J111" s="45">
        <v>0</v>
      </c>
      <c r="K111" s="45"/>
      <c r="L111" s="45">
        <f t="shared" si="17"/>
        <v>0.08163243428571428</v>
      </c>
      <c r="M111" s="45">
        <f t="shared" si="18"/>
        <v>0</v>
      </c>
      <c r="N111" s="45">
        <f t="shared" si="19"/>
        <v>0.08163243428571428</v>
      </c>
      <c r="O111" s="45"/>
      <c r="P111" s="45">
        <v>0.047618919999999995</v>
      </c>
      <c r="Q111" s="45">
        <v>0</v>
      </c>
      <c r="R111" s="45">
        <v>0.047618919999999995</v>
      </c>
      <c r="S111" s="45"/>
      <c r="T111" s="45"/>
      <c r="U111" s="45"/>
      <c r="V111" s="45"/>
      <c r="W111" s="45"/>
      <c r="X111" s="45"/>
      <c r="Y111" s="45">
        <v>0</v>
      </c>
      <c r="Z111" s="45">
        <v>0</v>
      </c>
      <c r="AA111" s="45">
        <v>0</v>
      </c>
      <c r="AB111" s="45">
        <f t="shared" si="20"/>
        <v>0</v>
      </c>
    </row>
    <row r="112" spans="3:28" ht="15">
      <c r="C112" s="19" t="s">
        <v>149</v>
      </c>
      <c r="D112" s="27" t="s">
        <v>159</v>
      </c>
      <c r="E112" s="27"/>
      <c r="F112" s="27"/>
      <c r="G112" s="28"/>
      <c r="H112" s="45">
        <v>29.247954</v>
      </c>
      <c r="I112" s="45"/>
      <c r="J112" s="45">
        <v>0</v>
      </c>
      <c r="K112" s="45"/>
      <c r="L112" s="45">
        <f t="shared" si="17"/>
        <v>0.022027405714285714</v>
      </c>
      <c r="M112" s="45">
        <f t="shared" si="18"/>
        <v>0</v>
      </c>
      <c r="N112" s="45">
        <f t="shared" si="19"/>
        <v>0.022027405714285714</v>
      </c>
      <c r="O112" s="45"/>
      <c r="P112" s="45">
        <v>0.012849320000000001</v>
      </c>
      <c r="Q112" s="45">
        <v>0</v>
      </c>
      <c r="R112" s="45">
        <v>0.012849320000000001</v>
      </c>
      <c r="S112" s="45"/>
      <c r="T112" s="45"/>
      <c r="U112" s="45"/>
      <c r="V112" s="45"/>
      <c r="W112" s="45"/>
      <c r="X112" s="45"/>
      <c r="Y112" s="45">
        <v>0</v>
      </c>
      <c r="Z112" s="45">
        <v>0</v>
      </c>
      <c r="AA112" s="45">
        <v>0</v>
      </c>
      <c r="AB112" s="45">
        <f t="shared" si="20"/>
        <v>0</v>
      </c>
    </row>
    <row r="113" spans="3:28" ht="15">
      <c r="C113" s="19" t="s">
        <v>150</v>
      </c>
      <c r="D113" s="27" t="s">
        <v>161</v>
      </c>
      <c r="E113" s="27"/>
      <c r="F113" s="27"/>
      <c r="G113" s="28"/>
      <c r="H113" s="46">
        <v>132.42454374</v>
      </c>
      <c r="I113" s="46"/>
      <c r="J113" s="46">
        <v>0</v>
      </c>
      <c r="K113" s="46"/>
      <c r="L113" s="46">
        <f t="shared" si="17"/>
        <v>0.6985074</v>
      </c>
      <c r="M113" s="46">
        <f t="shared" si="18"/>
        <v>0</v>
      </c>
      <c r="N113" s="46">
        <f t="shared" si="19"/>
        <v>0.6985074</v>
      </c>
      <c r="O113" s="45"/>
      <c r="P113" s="46">
        <v>0.40746265000000004</v>
      </c>
      <c r="Q113" s="46">
        <v>0</v>
      </c>
      <c r="R113" s="46">
        <v>0.40746265000000004</v>
      </c>
      <c r="S113" s="45"/>
      <c r="T113" s="45"/>
      <c r="U113" s="45"/>
      <c r="V113" s="45"/>
      <c r="W113" s="45"/>
      <c r="X113" s="45"/>
      <c r="Y113" s="46">
        <v>0.10869568999999998</v>
      </c>
      <c r="Z113" s="46">
        <v>0</v>
      </c>
      <c r="AA113" s="46">
        <v>0.41533187000000005</v>
      </c>
      <c r="AB113" s="46">
        <f t="shared" si="20"/>
        <v>0.5240275600000001</v>
      </c>
    </row>
    <row r="114" spans="3:28" ht="15">
      <c r="C114" s="34" t="s">
        <v>151</v>
      </c>
      <c r="D114" s="35"/>
      <c r="E114" s="35"/>
      <c r="F114" s="35"/>
      <c r="G114" s="36"/>
      <c r="H114" s="47">
        <f>SUM(H108:H113)</f>
        <v>936.86211974</v>
      </c>
      <c r="I114" s="47"/>
      <c r="J114" s="47">
        <f>SUM(J108:J113)</f>
        <v>0</v>
      </c>
      <c r="K114" s="47"/>
      <c r="L114" s="47">
        <f>SUM(L108:L113)</f>
        <v>5.49804341142857</v>
      </c>
      <c r="M114" s="47">
        <f>SUM(M108:M113)</f>
        <v>0</v>
      </c>
      <c r="N114" s="47">
        <f>SUM(N108:N113)</f>
        <v>5.49804341142857</v>
      </c>
      <c r="O114" s="45"/>
      <c r="P114" s="47">
        <f>SUM(P108:P113)</f>
        <v>3.20719199</v>
      </c>
      <c r="Q114" s="47">
        <f>SUM(Q108:Q113)</f>
        <v>0</v>
      </c>
      <c r="R114" s="47">
        <f>SUM(R108:R113)</f>
        <v>3.20719199</v>
      </c>
      <c r="S114" s="45"/>
      <c r="T114" s="45"/>
      <c r="U114" s="45"/>
      <c r="V114" s="45"/>
      <c r="W114" s="45"/>
      <c r="X114" s="45"/>
      <c r="Y114" s="47">
        <f>SUM(Y108:Y113)</f>
        <v>1.58256276</v>
      </c>
      <c r="Z114" s="47">
        <f>SUM(Z108:Z113)</f>
        <v>0</v>
      </c>
      <c r="AA114" s="47">
        <f>SUM(AA108:AA113)</f>
        <v>1.8875271700000003</v>
      </c>
      <c r="AB114" s="47">
        <f t="shared" si="20"/>
        <v>3.4700899300000003</v>
      </c>
    </row>
    <row r="115" spans="2:28" ht="15">
      <c r="B115" s="33" t="s">
        <v>152</v>
      </c>
      <c r="D115" s="27"/>
      <c r="E115" s="27"/>
      <c r="F115" s="27"/>
      <c r="G115" s="28"/>
      <c r="H115" s="45"/>
      <c r="I115" s="45"/>
      <c r="J115" s="45"/>
      <c r="K115" s="45"/>
      <c r="L115" s="45"/>
      <c r="M115" s="45"/>
      <c r="N115" s="45"/>
      <c r="O115" s="45"/>
      <c r="P115" s="45"/>
      <c r="Q115" s="45"/>
      <c r="R115" s="45"/>
      <c r="S115" s="45"/>
      <c r="T115" s="45"/>
      <c r="U115" s="45"/>
      <c r="V115" s="45"/>
      <c r="W115" s="45"/>
      <c r="X115" s="45"/>
      <c r="Y115" s="45"/>
      <c r="Z115" s="45"/>
      <c r="AA115" s="45"/>
      <c r="AB115" s="45"/>
    </row>
    <row r="116" spans="3:28" ht="15">
      <c r="C116" s="19" t="s">
        <v>152</v>
      </c>
      <c r="D116" s="27" t="s">
        <v>161</v>
      </c>
      <c r="E116" s="27"/>
      <c r="F116" s="27"/>
      <c r="G116" s="28"/>
      <c r="H116" s="45">
        <v>2718.632138</v>
      </c>
      <c r="I116" s="45"/>
      <c r="J116" s="45">
        <v>0</v>
      </c>
      <c r="K116" s="45"/>
      <c r="L116" s="45">
        <f aca="true" t="shared" si="21" ref="L116:M120">(P116/7)*12</f>
        <v>4.002497708571428</v>
      </c>
      <c r="M116" s="45">
        <f t="shared" si="21"/>
        <v>0</v>
      </c>
      <c r="N116" s="45">
        <f>L116+M116</f>
        <v>4.002497708571428</v>
      </c>
      <c r="O116" s="45"/>
      <c r="P116" s="45">
        <v>2.3347903299999997</v>
      </c>
      <c r="Q116" s="45">
        <v>0</v>
      </c>
      <c r="R116" s="45">
        <v>2.3347903299999997</v>
      </c>
      <c r="S116" s="45"/>
      <c r="T116" s="45"/>
      <c r="U116" s="45"/>
      <c r="V116" s="45"/>
      <c r="W116" s="45"/>
      <c r="X116" s="45"/>
      <c r="Y116" s="45">
        <v>0.73644553</v>
      </c>
      <c r="Z116" s="45">
        <v>0</v>
      </c>
      <c r="AA116" s="45">
        <v>0.8844903999999999</v>
      </c>
      <c r="AB116" s="45">
        <f aca="true" t="shared" si="22" ref="AB116:AB121">SUM(Y116:AA116)</f>
        <v>1.62093593</v>
      </c>
    </row>
    <row r="117" spans="3:28" ht="15">
      <c r="C117" s="19" t="s">
        <v>153</v>
      </c>
      <c r="D117" s="27" t="s">
        <v>161</v>
      </c>
      <c r="E117" s="27"/>
      <c r="F117" s="27"/>
      <c r="G117" s="28"/>
      <c r="H117" s="45">
        <v>315.625329</v>
      </c>
      <c r="I117" s="45"/>
      <c r="J117" s="45">
        <v>0</v>
      </c>
      <c r="K117" s="45"/>
      <c r="L117" s="45">
        <f t="shared" si="21"/>
        <v>0.4701687771428572</v>
      </c>
      <c r="M117" s="45">
        <f t="shared" si="21"/>
        <v>0</v>
      </c>
      <c r="N117" s="45">
        <f>L117+M117</f>
        <v>0.4701687771428572</v>
      </c>
      <c r="O117" s="45"/>
      <c r="P117" s="45">
        <v>0.27426512000000003</v>
      </c>
      <c r="Q117" s="45">
        <v>0</v>
      </c>
      <c r="R117" s="45">
        <v>0.27426512000000003</v>
      </c>
      <c r="S117" s="45"/>
      <c r="T117" s="45"/>
      <c r="U117" s="45"/>
      <c r="V117" s="45"/>
      <c r="W117" s="45"/>
      <c r="X117" s="45"/>
      <c r="Y117" s="45">
        <v>0</v>
      </c>
      <c r="Z117" s="45">
        <v>0</v>
      </c>
      <c r="AA117" s="45">
        <v>0.027916470000000002</v>
      </c>
      <c r="AB117" s="45">
        <f t="shared" si="22"/>
        <v>0.027916470000000002</v>
      </c>
    </row>
    <row r="118" spans="3:28" ht="15">
      <c r="C118" s="19" t="s">
        <v>154</v>
      </c>
      <c r="D118" s="27" t="s">
        <v>161</v>
      </c>
      <c r="E118" s="27"/>
      <c r="F118" s="27"/>
      <c r="G118" s="28"/>
      <c r="H118" s="45">
        <v>521.882642</v>
      </c>
      <c r="I118" s="45"/>
      <c r="J118" s="45">
        <v>0</v>
      </c>
      <c r="K118" s="45"/>
      <c r="L118" s="45">
        <f t="shared" si="21"/>
        <v>0.5751995657142857</v>
      </c>
      <c r="M118" s="45">
        <f t="shared" si="21"/>
        <v>0</v>
      </c>
      <c r="N118" s="45">
        <f>L118+M118</f>
        <v>0.5751995657142857</v>
      </c>
      <c r="O118" s="45"/>
      <c r="P118" s="45">
        <v>0.33553308</v>
      </c>
      <c r="Q118" s="45">
        <v>0</v>
      </c>
      <c r="R118" s="45">
        <v>0.33553308</v>
      </c>
      <c r="S118" s="45"/>
      <c r="T118" s="45"/>
      <c r="U118" s="45"/>
      <c r="V118" s="45"/>
      <c r="W118" s="45"/>
      <c r="X118" s="45"/>
      <c r="Y118" s="45">
        <v>0</v>
      </c>
      <c r="Z118" s="45">
        <v>0</v>
      </c>
      <c r="AA118" s="45">
        <v>0</v>
      </c>
      <c r="AB118" s="45">
        <f t="shared" si="22"/>
        <v>0</v>
      </c>
    </row>
    <row r="119" spans="3:28" ht="15">
      <c r="C119" s="19" t="s">
        <v>155</v>
      </c>
      <c r="D119" s="27" t="s">
        <v>161</v>
      </c>
      <c r="E119" s="27"/>
      <c r="F119" s="27"/>
      <c r="G119" s="28"/>
      <c r="H119" s="45">
        <v>0</v>
      </c>
      <c r="I119" s="45"/>
      <c r="J119" s="45">
        <v>0</v>
      </c>
      <c r="K119" s="45"/>
      <c r="L119" s="45">
        <f t="shared" si="21"/>
        <v>0.06993987428571427</v>
      </c>
      <c r="M119" s="45">
        <f t="shared" si="21"/>
        <v>0</v>
      </c>
      <c r="N119" s="45">
        <f>L119+M119</f>
        <v>0.06993987428571427</v>
      </c>
      <c r="O119" s="45"/>
      <c r="P119" s="45">
        <v>0.040798259999999996</v>
      </c>
      <c r="Q119" s="45">
        <v>0</v>
      </c>
      <c r="R119" s="45">
        <v>0.040798259999999996</v>
      </c>
      <c r="S119" s="45"/>
      <c r="T119" s="45"/>
      <c r="U119" s="45"/>
      <c r="V119" s="45"/>
      <c r="W119" s="45"/>
      <c r="X119" s="45"/>
      <c r="Y119" s="45">
        <v>0</v>
      </c>
      <c r="Z119" s="45">
        <v>0</v>
      </c>
      <c r="AA119" s="45">
        <v>0.1817432</v>
      </c>
      <c r="AB119" s="45">
        <f t="shared" si="22"/>
        <v>0.1817432</v>
      </c>
    </row>
    <row r="120" spans="3:28" ht="15">
      <c r="C120" s="19" t="s">
        <v>156</v>
      </c>
      <c r="D120" s="27" t="s">
        <v>159</v>
      </c>
      <c r="E120" s="27"/>
      <c r="F120" s="27"/>
      <c r="G120" s="28"/>
      <c r="H120" s="46">
        <v>50.1</v>
      </c>
      <c r="I120" s="52" t="s">
        <v>175</v>
      </c>
      <c r="J120" s="46">
        <v>50.118839</v>
      </c>
      <c r="K120" s="46"/>
      <c r="L120" s="46">
        <f t="shared" si="21"/>
        <v>0.09969877714285716</v>
      </c>
      <c r="M120" s="46">
        <f t="shared" si="21"/>
        <v>0</v>
      </c>
      <c r="N120" s="46">
        <f>L120+M120</f>
        <v>0.09969877714285716</v>
      </c>
      <c r="O120" s="45"/>
      <c r="P120" s="46">
        <v>0.05815762</v>
      </c>
      <c r="Q120" s="46">
        <v>0</v>
      </c>
      <c r="R120" s="46">
        <v>0.05815762</v>
      </c>
      <c r="S120" s="45"/>
      <c r="T120" s="45"/>
      <c r="U120" s="45"/>
      <c r="V120" s="45"/>
      <c r="W120" s="45"/>
      <c r="X120" s="45"/>
      <c r="Y120" s="46">
        <v>0</v>
      </c>
      <c r="Z120" s="46">
        <v>0</v>
      </c>
      <c r="AA120" s="46">
        <v>2.7401539299999995</v>
      </c>
      <c r="AB120" s="46">
        <f t="shared" si="22"/>
        <v>2.7401539299999995</v>
      </c>
    </row>
    <row r="121" spans="3:28" ht="15">
      <c r="C121" s="34" t="s">
        <v>157</v>
      </c>
      <c r="D121" s="35"/>
      <c r="E121" s="35"/>
      <c r="F121" s="35"/>
      <c r="G121" s="36"/>
      <c r="H121" s="47">
        <f>SUM(H116:H120)</f>
        <v>3606.240109</v>
      </c>
      <c r="I121" s="47"/>
      <c r="J121" s="47">
        <f>SUM(J116:J120)</f>
        <v>50.118839</v>
      </c>
      <c r="K121" s="47"/>
      <c r="L121" s="47">
        <f>SUM(L116:L120)</f>
        <v>5.217504702857142</v>
      </c>
      <c r="M121" s="47">
        <f>SUM(M116:M120)</f>
        <v>0</v>
      </c>
      <c r="N121" s="47">
        <f>SUM(N116:N120)</f>
        <v>5.217504702857142</v>
      </c>
      <c r="O121" s="45"/>
      <c r="P121" s="47">
        <f>SUM(P116:P120)</f>
        <v>3.043544409999999</v>
      </c>
      <c r="Q121" s="47">
        <f>SUM(Q116:Q120)</f>
        <v>0</v>
      </c>
      <c r="R121" s="47">
        <f>SUM(R116:R120)</f>
        <v>3.043544409999999</v>
      </c>
      <c r="S121" s="45"/>
      <c r="T121" s="45"/>
      <c r="U121" s="45"/>
      <c r="V121" s="45"/>
      <c r="W121" s="45"/>
      <c r="X121" s="45"/>
      <c r="Y121" s="47">
        <f>SUM(Y116:Y120)</f>
        <v>0.73644553</v>
      </c>
      <c r="Z121" s="47">
        <f>SUM(Z116:Z120)</f>
        <v>0</v>
      </c>
      <c r="AA121" s="47">
        <f>SUM(AA116:AA120)</f>
        <v>3.8343039999999995</v>
      </c>
      <c r="AB121" s="47">
        <f t="shared" si="22"/>
        <v>4.57074953</v>
      </c>
    </row>
    <row r="122" spans="3:28" ht="15">
      <c r="C122" s="34"/>
      <c r="D122" s="35"/>
      <c r="E122" s="35"/>
      <c r="F122" s="35"/>
      <c r="G122" s="36"/>
      <c r="H122" s="47"/>
      <c r="I122" s="47"/>
      <c r="J122" s="47"/>
      <c r="K122" s="47"/>
      <c r="L122" s="47"/>
      <c r="M122" s="47"/>
      <c r="N122" s="47"/>
      <c r="O122" s="45"/>
      <c r="P122" s="47"/>
      <c r="Q122" s="47"/>
      <c r="R122" s="47"/>
      <c r="S122" s="45"/>
      <c r="T122" s="45"/>
      <c r="U122" s="45"/>
      <c r="V122" s="45"/>
      <c r="W122" s="45"/>
      <c r="X122" s="45"/>
      <c r="Y122" s="45"/>
      <c r="Z122" s="45"/>
      <c r="AA122" s="45"/>
      <c r="AB122" s="45"/>
    </row>
    <row r="123" spans="2:28" ht="15">
      <c r="B123" s="33" t="s">
        <v>69</v>
      </c>
      <c r="C123" s="34"/>
      <c r="D123" s="27" t="s">
        <v>161</v>
      </c>
      <c r="E123" s="27"/>
      <c r="F123" s="27"/>
      <c r="G123" s="28"/>
      <c r="H123" s="46">
        <v>0</v>
      </c>
      <c r="I123" s="46" t="s">
        <v>177</v>
      </c>
      <c r="J123" s="46">
        <v>0</v>
      </c>
      <c r="K123" s="46"/>
      <c r="L123" s="46">
        <v>15</v>
      </c>
      <c r="M123" s="46">
        <f>(Q123/8)*12</f>
        <v>0</v>
      </c>
      <c r="N123" s="46">
        <f>L123+M123</f>
        <v>15</v>
      </c>
      <c r="O123" s="45"/>
      <c r="P123" s="46">
        <v>0</v>
      </c>
      <c r="Q123" s="46">
        <v>0</v>
      </c>
      <c r="R123" s="46">
        <v>0</v>
      </c>
      <c r="S123" s="45"/>
      <c r="T123" s="45"/>
      <c r="U123" s="45"/>
      <c r="V123" s="45"/>
      <c r="W123" s="45"/>
      <c r="X123" s="45"/>
      <c r="Y123" s="46">
        <v>0</v>
      </c>
      <c r="Z123" s="46">
        <v>0</v>
      </c>
      <c r="AA123" s="46">
        <v>0</v>
      </c>
      <c r="AB123" s="46">
        <f>SUM(Y123:AA123)</f>
        <v>0</v>
      </c>
    </row>
    <row r="124" spans="3:28" ht="15">
      <c r="C124" s="34"/>
      <c r="D124" s="35"/>
      <c r="E124" s="35"/>
      <c r="F124" s="35"/>
      <c r="G124" s="36"/>
      <c r="H124" s="53"/>
      <c r="I124" s="53"/>
      <c r="J124" s="53"/>
      <c r="K124" s="53"/>
      <c r="L124" s="53"/>
      <c r="M124" s="53"/>
      <c r="N124" s="53"/>
      <c r="O124" s="45"/>
      <c r="P124" s="53"/>
      <c r="Q124" s="53"/>
      <c r="R124" s="53"/>
      <c r="S124" s="45"/>
      <c r="T124" s="45"/>
      <c r="U124" s="45"/>
      <c r="V124" s="45"/>
      <c r="W124" s="45"/>
      <c r="X124" s="45"/>
      <c r="Y124" s="45"/>
      <c r="Z124" s="45"/>
      <c r="AA124" s="45"/>
      <c r="AB124" s="45"/>
    </row>
    <row r="125" spans="3:28" ht="3.75" customHeight="1" hidden="1">
      <c r="C125" s="34"/>
      <c r="D125" s="35"/>
      <c r="E125" s="35"/>
      <c r="F125" s="35"/>
      <c r="G125" s="36"/>
      <c r="H125" s="53"/>
      <c r="I125" s="53"/>
      <c r="J125" s="53"/>
      <c r="K125" s="53"/>
      <c r="L125" s="53"/>
      <c r="M125" s="53"/>
      <c r="N125" s="53"/>
      <c r="O125" s="45"/>
      <c r="P125" s="53"/>
      <c r="Q125" s="53"/>
      <c r="R125" s="53"/>
      <c r="S125" s="45"/>
      <c r="T125" s="45"/>
      <c r="U125" s="45"/>
      <c r="V125" s="45"/>
      <c r="W125" s="45"/>
      <c r="X125" s="45"/>
      <c r="Y125" s="45"/>
      <c r="Z125" s="45"/>
      <c r="AA125" s="45"/>
      <c r="AB125" s="45"/>
    </row>
    <row r="126" spans="3:28" ht="15">
      <c r="C126" s="37" t="s">
        <v>158</v>
      </c>
      <c r="D126" s="27"/>
      <c r="E126" s="27"/>
      <c r="F126" s="27"/>
      <c r="G126" s="28"/>
      <c r="H126" s="48">
        <f>H121+H114+H106+H123</f>
        <v>6265.77155174</v>
      </c>
      <c r="I126" s="48"/>
      <c r="J126" s="48">
        <f>J121+J114+J106+J123</f>
        <v>54.83237031</v>
      </c>
      <c r="K126" s="48"/>
      <c r="L126" s="48">
        <f aca="true" t="shared" si="23" ref="L126:R126">L121+L114+L106+L123</f>
        <v>30.45017273142857</v>
      </c>
      <c r="M126" s="48">
        <f t="shared" si="23"/>
        <v>-9.429829285714286</v>
      </c>
      <c r="N126" s="48">
        <f t="shared" si="23"/>
        <v>21.020343445714285</v>
      </c>
      <c r="O126" s="45"/>
      <c r="P126" s="48">
        <f t="shared" si="23"/>
        <v>9.01260076</v>
      </c>
      <c r="Q126" s="48">
        <f t="shared" si="23"/>
        <v>-5.50073375</v>
      </c>
      <c r="R126" s="48">
        <f t="shared" si="23"/>
        <v>3.5118670099999996</v>
      </c>
      <c r="S126" s="45"/>
      <c r="T126" s="45"/>
      <c r="U126" s="45"/>
      <c r="V126" s="45"/>
      <c r="W126" s="45"/>
      <c r="X126" s="45"/>
      <c r="Y126" s="48">
        <f>Y121+Y114+Y106+Y123</f>
        <v>2.99209849</v>
      </c>
      <c r="Z126" s="48">
        <f>Z121+Z114+Z106+Z123</f>
        <v>0</v>
      </c>
      <c r="AA126" s="48">
        <f>AA121+AA114+AA106+AA123</f>
        <v>6.20441065</v>
      </c>
      <c r="AB126" s="48">
        <f>SUM(Y126:AA126)</f>
        <v>9.19650914</v>
      </c>
    </row>
    <row r="127" spans="4:25" ht="15">
      <c r="D127" s="27"/>
      <c r="E127" s="27"/>
      <c r="F127" s="27"/>
      <c r="G127" s="28"/>
      <c r="H127" s="27"/>
      <c r="I127" s="27"/>
      <c r="J127" s="27"/>
      <c r="K127" s="27"/>
      <c r="L127" s="27"/>
      <c r="M127" s="27"/>
      <c r="N127" s="27"/>
      <c r="O127" s="27"/>
      <c r="P127" s="27"/>
      <c r="Q127" s="27"/>
      <c r="R127" s="27"/>
      <c r="S127" s="27"/>
      <c r="T127" s="27"/>
      <c r="U127" s="27"/>
      <c r="V127" s="27"/>
      <c r="W127" s="27"/>
      <c r="X127" s="27"/>
      <c r="Y127" s="27"/>
    </row>
    <row r="128" spans="4:25" ht="15" hidden="1">
      <c r="D128" s="27"/>
      <c r="E128" s="27"/>
      <c r="F128" s="27"/>
      <c r="G128" s="28"/>
      <c r="H128" s="27">
        <f>H126+H99+H65+H39</f>
        <v>12222.56625452</v>
      </c>
      <c r="I128" s="27"/>
      <c r="J128" s="27">
        <f>J126+J99+J65+J39</f>
        <v>391.86837534999995</v>
      </c>
      <c r="K128" s="27"/>
      <c r="L128" s="27">
        <f>L126+L99+L65+L39</f>
        <v>111.45717102857144</v>
      </c>
      <c r="M128" s="27">
        <f>M126+M99+M65+M39</f>
        <v>-0.032216540571431196</v>
      </c>
      <c r="N128" s="27">
        <f>N126+N99+N65+N39</f>
        <v>111.41681766514286</v>
      </c>
      <c r="O128" s="27"/>
      <c r="P128" s="27">
        <f>P126+P99+P65+P39</f>
        <v>56.266683099999995</v>
      </c>
      <c r="Q128" s="27">
        <f>Q126+Q99+Q65+Q39</f>
        <v>-0.01879298200000079</v>
      </c>
      <c r="R128" s="27">
        <f>R126+R99+R65+R39</f>
        <v>56.243143638</v>
      </c>
      <c r="S128" s="27"/>
      <c r="T128" s="27"/>
      <c r="U128" s="27"/>
      <c r="V128" s="27"/>
      <c r="W128" s="27"/>
      <c r="X128" s="27"/>
      <c r="Y128" s="27"/>
    </row>
    <row r="129" spans="3:25" ht="15">
      <c r="C129" s="44" t="s">
        <v>178</v>
      </c>
      <c r="D129" s="27"/>
      <c r="E129" s="27"/>
      <c r="F129" s="27"/>
      <c r="G129" s="28"/>
      <c r="H129" s="27"/>
      <c r="I129" s="27"/>
      <c r="J129" s="27"/>
      <c r="K129" s="27"/>
      <c r="L129" s="27"/>
      <c r="M129" s="27"/>
      <c r="N129" s="27"/>
      <c r="O129" s="27"/>
      <c r="P129" s="27"/>
      <c r="Q129" s="27"/>
      <c r="R129" s="27"/>
      <c r="S129" s="27"/>
      <c r="T129" s="27"/>
      <c r="U129" s="27"/>
      <c r="V129" s="27"/>
      <c r="W129" s="27"/>
      <c r="X129" s="27"/>
      <c r="Y129" s="27"/>
    </row>
    <row r="130" spans="3:25" ht="15">
      <c r="C130" s="44" t="s">
        <v>179</v>
      </c>
      <c r="D130" s="27"/>
      <c r="E130" s="27"/>
      <c r="F130" s="27"/>
      <c r="G130" s="28"/>
      <c r="H130" s="27"/>
      <c r="I130" s="27"/>
      <c r="J130" s="27"/>
      <c r="K130" s="27"/>
      <c r="L130" s="27"/>
      <c r="M130" s="27"/>
      <c r="N130" s="27"/>
      <c r="O130" s="27"/>
      <c r="P130" s="27"/>
      <c r="Q130" s="27"/>
      <c r="R130" s="27"/>
      <c r="S130" s="27"/>
      <c r="T130" s="27"/>
      <c r="U130" s="27"/>
      <c r="V130" s="27"/>
      <c r="W130" s="27"/>
      <c r="X130" s="27"/>
      <c r="Y130" s="27"/>
    </row>
    <row r="131" spans="4:25" ht="15">
      <c r="D131" s="27"/>
      <c r="E131" s="27"/>
      <c r="F131" s="27"/>
      <c r="G131" s="28"/>
      <c r="H131" s="27"/>
      <c r="I131" s="27"/>
      <c r="J131" s="27"/>
      <c r="K131" s="27"/>
      <c r="L131" s="27"/>
      <c r="M131" s="27"/>
      <c r="N131" s="27"/>
      <c r="O131" s="27"/>
      <c r="P131" s="27"/>
      <c r="Q131" s="27"/>
      <c r="R131" s="27"/>
      <c r="S131" s="27"/>
      <c r="T131" s="27"/>
      <c r="U131" s="27"/>
      <c r="V131" s="27"/>
      <c r="W131" s="27"/>
      <c r="X131" s="27"/>
      <c r="Y131" s="27"/>
    </row>
    <row r="132" spans="4:25" ht="15">
      <c r="D132" s="27"/>
      <c r="E132" s="27"/>
      <c r="F132" s="27"/>
      <c r="G132" s="28"/>
      <c r="H132" s="27"/>
      <c r="I132" s="27"/>
      <c r="J132" s="27"/>
      <c r="K132" s="27"/>
      <c r="L132" s="27"/>
      <c r="M132" s="27"/>
      <c r="N132" s="27"/>
      <c r="O132" s="27"/>
      <c r="P132" s="27"/>
      <c r="Q132" s="27"/>
      <c r="R132" s="27"/>
      <c r="S132" s="27"/>
      <c r="T132" s="27"/>
      <c r="U132" s="27"/>
      <c r="V132" s="27"/>
      <c r="W132" s="27"/>
      <c r="X132" s="27"/>
      <c r="Y132" s="27"/>
    </row>
    <row r="133" spans="4:25" ht="15">
      <c r="D133" s="27"/>
      <c r="E133" s="27"/>
      <c r="F133" s="27"/>
      <c r="G133" s="28"/>
      <c r="H133" s="27"/>
      <c r="I133" s="27"/>
      <c r="J133" s="27"/>
      <c r="K133" s="27"/>
      <c r="L133" s="27"/>
      <c r="M133" s="27"/>
      <c r="N133" s="27"/>
      <c r="O133" s="27"/>
      <c r="P133" s="27"/>
      <c r="Q133" s="27"/>
      <c r="R133" s="27"/>
      <c r="S133" s="27"/>
      <c r="T133" s="27"/>
      <c r="U133" s="27"/>
      <c r="V133" s="27"/>
      <c r="W133" s="27"/>
      <c r="X133" s="27"/>
      <c r="Y133" s="27"/>
    </row>
    <row r="134" spans="4:25" ht="15">
      <c r="D134" s="27"/>
      <c r="E134" s="27"/>
      <c r="F134" s="27"/>
      <c r="G134" s="28"/>
      <c r="H134" s="27"/>
      <c r="I134" s="27"/>
      <c r="J134" s="27"/>
      <c r="K134" s="27"/>
      <c r="L134" s="27"/>
      <c r="M134" s="27"/>
      <c r="N134" s="27"/>
      <c r="O134" s="27"/>
      <c r="P134" s="27"/>
      <c r="Q134" s="27"/>
      <c r="R134" s="27"/>
      <c r="S134" s="27"/>
      <c r="T134" s="27"/>
      <c r="U134" s="27"/>
      <c r="V134" s="27"/>
      <c r="W134" s="27"/>
      <c r="X134" s="27"/>
      <c r="Y134" s="27"/>
    </row>
    <row r="135" spans="4:25" ht="15">
      <c r="D135" s="27"/>
      <c r="E135" s="27"/>
      <c r="F135" s="27"/>
      <c r="G135" s="28"/>
      <c r="H135" s="27"/>
      <c r="I135" s="27"/>
      <c r="J135" s="27"/>
      <c r="K135" s="27"/>
      <c r="L135" s="27"/>
      <c r="M135" s="27"/>
      <c r="N135" s="27"/>
      <c r="O135" s="27"/>
      <c r="P135" s="27"/>
      <c r="Q135" s="27"/>
      <c r="R135" s="27"/>
      <c r="S135" s="27"/>
      <c r="T135" s="27"/>
      <c r="U135" s="27"/>
      <c r="V135" s="27"/>
      <c r="W135" s="27"/>
      <c r="X135" s="27"/>
      <c r="Y135" s="27"/>
    </row>
    <row r="136" spans="4:25" ht="15">
      <c r="D136" s="27"/>
      <c r="E136" s="27"/>
      <c r="F136" s="27"/>
      <c r="G136" s="28"/>
      <c r="H136" s="27"/>
      <c r="I136" s="27"/>
      <c r="J136" s="27"/>
      <c r="K136" s="27"/>
      <c r="L136" s="27"/>
      <c r="M136" s="27"/>
      <c r="N136" s="27"/>
      <c r="O136" s="27"/>
      <c r="P136" s="27"/>
      <c r="Q136" s="27"/>
      <c r="R136" s="27"/>
      <c r="S136" s="27"/>
      <c r="T136" s="27"/>
      <c r="U136" s="27"/>
      <c r="V136" s="27"/>
      <c r="W136" s="27"/>
      <c r="X136" s="27"/>
      <c r="Y136" s="27"/>
    </row>
    <row r="137" spans="4:25" ht="15">
      <c r="D137" s="27"/>
      <c r="E137" s="27"/>
      <c r="F137" s="27"/>
      <c r="G137" s="28"/>
      <c r="H137" s="27"/>
      <c r="I137" s="27"/>
      <c r="J137" s="27"/>
      <c r="K137" s="27"/>
      <c r="L137" s="27"/>
      <c r="M137" s="27"/>
      <c r="N137" s="27"/>
      <c r="O137" s="27"/>
      <c r="P137" s="27"/>
      <c r="Q137" s="27"/>
      <c r="R137" s="27"/>
      <c r="S137" s="27"/>
      <c r="T137" s="27"/>
      <c r="U137" s="27"/>
      <c r="V137" s="27"/>
      <c r="W137" s="27"/>
      <c r="X137" s="27"/>
      <c r="Y137" s="27"/>
    </row>
    <row r="138" spans="4:25" ht="15">
      <c r="D138" s="27"/>
      <c r="E138" s="27"/>
      <c r="F138" s="27"/>
      <c r="G138" s="28"/>
      <c r="H138" s="27"/>
      <c r="I138" s="27"/>
      <c r="J138" s="27"/>
      <c r="K138" s="27"/>
      <c r="L138" s="27"/>
      <c r="M138" s="27"/>
      <c r="N138" s="27"/>
      <c r="O138" s="27"/>
      <c r="P138" s="27"/>
      <c r="Q138" s="27"/>
      <c r="R138" s="27"/>
      <c r="S138" s="27"/>
      <c r="T138" s="27"/>
      <c r="U138" s="27"/>
      <c r="V138" s="27"/>
      <c r="W138" s="27"/>
      <c r="X138" s="27"/>
      <c r="Y138" s="27"/>
    </row>
    <row r="139" spans="4:25" ht="15">
      <c r="D139" s="27"/>
      <c r="E139" s="27"/>
      <c r="F139" s="27"/>
      <c r="G139" s="28"/>
      <c r="H139" s="27"/>
      <c r="I139" s="27"/>
      <c r="J139" s="27"/>
      <c r="K139" s="27"/>
      <c r="L139" s="27"/>
      <c r="M139" s="27"/>
      <c r="N139" s="27"/>
      <c r="O139" s="27"/>
      <c r="P139" s="27"/>
      <c r="Q139" s="27"/>
      <c r="R139" s="27"/>
      <c r="S139" s="27"/>
      <c r="T139" s="27"/>
      <c r="U139" s="27"/>
      <c r="V139" s="27"/>
      <c r="W139" s="27"/>
      <c r="X139" s="27"/>
      <c r="Y139" s="27"/>
    </row>
    <row r="140" spans="4:25" ht="15">
      <c r="D140" s="27"/>
      <c r="E140" s="27"/>
      <c r="F140" s="27"/>
      <c r="G140" s="28"/>
      <c r="H140" s="27"/>
      <c r="I140" s="27"/>
      <c r="J140" s="27"/>
      <c r="K140" s="27"/>
      <c r="L140" s="27"/>
      <c r="M140" s="27"/>
      <c r="N140" s="27"/>
      <c r="O140" s="27"/>
      <c r="P140" s="27"/>
      <c r="Q140" s="27"/>
      <c r="R140" s="27"/>
      <c r="S140" s="27"/>
      <c r="T140" s="27"/>
      <c r="U140" s="27"/>
      <c r="V140" s="27"/>
      <c r="W140" s="27"/>
      <c r="X140" s="27"/>
      <c r="Y140" s="27"/>
    </row>
    <row r="141" spans="4:25" ht="15">
      <c r="D141" s="27"/>
      <c r="E141" s="27"/>
      <c r="F141" s="27"/>
      <c r="G141" s="28"/>
      <c r="H141" s="27"/>
      <c r="I141" s="27"/>
      <c r="J141" s="27"/>
      <c r="K141" s="27"/>
      <c r="L141" s="27"/>
      <c r="M141" s="27"/>
      <c r="N141" s="27"/>
      <c r="O141" s="27"/>
      <c r="P141" s="27"/>
      <c r="Q141" s="27"/>
      <c r="R141" s="27"/>
      <c r="S141" s="27"/>
      <c r="T141" s="27"/>
      <c r="U141" s="27"/>
      <c r="V141" s="27"/>
      <c r="W141" s="27"/>
      <c r="X141" s="27"/>
      <c r="Y141" s="27"/>
    </row>
    <row r="142" spans="4:25" ht="15">
      <c r="D142" s="27"/>
      <c r="E142" s="27"/>
      <c r="F142" s="27"/>
      <c r="G142" s="28"/>
      <c r="H142" s="27"/>
      <c r="I142" s="27"/>
      <c r="J142" s="27"/>
      <c r="K142" s="27"/>
      <c r="L142" s="27"/>
      <c r="M142" s="27"/>
      <c r="N142" s="27"/>
      <c r="O142" s="27"/>
      <c r="P142" s="27"/>
      <c r="Q142" s="27"/>
      <c r="R142" s="27"/>
      <c r="S142" s="27"/>
      <c r="T142" s="27"/>
      <c r="U142" s="27"/>
      <c r="V142" s="27"/>
      <c r="W142" s="27"/>
      <c r="X142" s="27"/>
      <c r="Y142" s="27"/>
    </row>
    <row r="143" spans="4:25" ht="15">
      <c r="D143" s="27"/>
      <c r="E143" s="27"/>
      <c r="F143" s="27"/>
      <c r="G143" s="28"/>
      <c r="H143" s="27"/>
      <c r="I143" s="27"/>
      <c r="J143" s="27"/>
      <c r="K143" s="27"/>
      <c r="L143" s="27"/>
      <c r="M143" s="27"/>
      <c r="N143" s="27"/>
      <c r="O143" s="27"/>
      <c r="P143" s="27"/>
      <c r="Q143" s="27"/>
      <c r="R143" s="27"/>
      <c r="S143" s="27"/>
      <c r="T143" s="27"/>
      <c r="U143" s="27"/>
      <c r="V143" s="27"/>
      <c r="W143" s="27"/>
      <c r="X143" s="27"/>
      <c r="Y143" s="27"/>
    </row>
    <row r="144" spans="4:25" ht="15">
      <c r="D144" s="27"/>
      <c r="E144" s="27"/>
      <c r="F144" s="27"/>
      <c r="G144" s="28"/>
      <c r="H144" s="27"/>
      <c r="I144" s="27"/>
      <c r="J144" s="27"/>
      <c r="K144" s="27"/>
      <c r="L144" s="27"/>
      <c r="M144" s="27"/>
      <c r="N144" s="27"/>
      <c r="O144" s="27"/>
      <c r="P144" s="27"/>
      <c r="Q144" s="27"/>
      <c r="R144" s="27"/>
      <c r="S144" s="27"/>
      <c r="T144" s="27"/>
      <c r="U144" s="27"/>
      <c r="V144" s="27"/>
      <c r="W144" s="27"/>
      <c r="X144" s="27"/>
      <c r="Y144" s="27"/>
    </row>
    <row r="145" spans="4:25" ht="15">
      <c r="D145" s="27"/>
      <c r="E145" s="27"/>
      <c r="F145" s="27"/>
      <c r="G145" s="28"/>
      <c r="H145" s="27"/>
      <c r="I145" s="27"/>
      <c r="J145" s="27"/>
      <c r="K145" s="27"/>
      <c r="L145" s="27"/>
      <c r="M145" s="27"/>
      <c r="N145" s="27"/>
      <c r="O145" s="27"/>
      <c r="P145" s="27"/>
      <c r="Q145" s="27"/>
      <c r="R145" s="27"/>
      <c r="S145" s="27"/>
      <c r="T145" s="27"/>
      <c r="U145" s="27"/>
      <c r="V145" s="27"/>
      <c r="W145" s="27"/>
      <c r="X145" s="27"/>
      <c r="Y145" s="27"/>
    </row>
    <row r="146" spans="4:25" ht="15">
      <c r="D146" s="27"/>
      <c r="E146" s="27"/>
      <c r="F146" s="27"/>
      <c r="G146" s="28"/>
      <c r="H146" s="27"/>
      <c r="I146" s="27"/>
      <c r="J146" s="27"/>
      <c r="K146" s="27"/>
      <c r="L146" s="27"/>
      <c r="M146" s="27"/>
      <c r="N146" s="27"/>
      <c r="O146" s="27"/>
      <c r="P146" s="27"/>
      <c r="Q146" s="27"/>
      <c r="R146" s="27"/>
      <c r="S146" s="27"/>
      <c r="T146" s="27"/>
      <c r="U146" s="27"/>
      <c r="V146" s="27"/>
      <c r="W146" s="27"/>
      <c r="X146" s="27"/>
      <c r="Y146" s="27"/>
    </row>
    <row r="147" spans="4:25" ht="15">
      <c r="D147" s="27"/>
      <c r="E147" s="27"/>
      <c r="F147" s="27"/>
      <c r="G147" s="28"/>
      <c r="H147" s="27"/>
      <c r="I147" s="27"/>
      <c r="J147" s="27"/>
      <c r="K147" s="27"/>
      <c r="L147" s="27"/>
      <c r="M147" s="27"/>
      <c r="N147" s="27"/>
      <c r="O147" s="27"/>
      <c r="P147" s="27"/>
      <c r="Q147" s="27"/>
      <c r="R147" s="27"/>
      <c r="S147" s="27"/>
      <c r="T147" s="27"/>
      <c r="U147" s="27"/>
      <c r="V147" s="27"/>
      <c r="W147" s="27"/>
      <c r="X147" s="27"/>
      <c r="Y147" s="27"/>
    </row>
    <row r="148" spans="4:25" ht="15">
      <c r="D148" s="27"/>
      <c r="E148" s="27"/>
      <c r="F148" s="27"/>
      <c r="G148" s="28"/>
      <c r="H148" s="27"/>
      <c r="I148" s="27"/>
      <c r="J148" s="27"/>
      <c r="K148" s="27"/>
      <c r="L148" s="27"/>
      <c r="M148" s="27"/>
      <c r="N148" s="27"/>
      <c r="O148" s="27"/>
      <c r="P148" s="27"/>
      <c r="Q148" s="27"/>
      <c r="R148" s="27"/>
      <c r="S148" s="27"/>
      <c r="T148" s="27"/>
      <c r="U148" s="27"/>
      <c r="V148" s="27"/>
      <c r="W148" s="27"/>
      <c r="X148" s="27"/>
      <c r="Y148" s="27"/>
    </row>
    <row r="149" spans="4:25" ht="15">
      <c r="D149" s="27"/>
      <c r="E149" s="27"/>
      <c r="F149" s="27"/>
      <c r="G149" s="28"/>
      <c r="H149" s="27"/>
      <c r="I149" s="27"/>
      <c r="J149" s="27"/>
      <c r="K149" s="27"/>
      <c r="L149" s="27"/>
      <c r="M149" s="27"/>
      <c r="N149" s="27"/>
      <c r="O149" s="27"/>
      <c r="P149" s="27"/>
      <c r="Q149" s="27"/>
      <c r="R149" s="27"/>
      <c r="S149" s="27"/>
      <c r="T149" s="27"/>
      <c r="U149" s="27"/>
      <c r="V149" s="27"/>
      <c r="W149" s="27"/>
      <c r="X149" s="27"/>
      <c r="Y149" s="27"/>
    </row>
    <row r="150" spans="4:25" ht="15">
      <c r="D150" s="27"/>
      <c r="E150" s="27"/>
      <c r="F150" s="27"/>
      <c r="G150" s="28"/>
      <c r="H150" s="27"/>
      <c r="I150" s="27"/>
      <c r="J150" s="27"/>
      <c r="K150" s="27"/>
      <c r="L150" s="27"/>
      <c r="M150" s="27"/>
      <c r="N150" s="27"/>
      <c r="O150" s="27"/>
      <c r="P150" s="27"/>
      <c r="Q150" s="27"/>
      <c r="R150" s="27"/>
      <c r="S150" s="27"/>
      <c r="T150" s="27"/>
      <c r="U150" s="27"/>
      <c r="V150" s="27"/>
      <c r="W150" s="27"/>
      <c r="X150" s="27"/>
      <c r="Y150" s="27"/>
    </row>
    <row r="151" spans="4:25" ht="15">
      <c r="D151" s="27"/>
      <c r="E151" s="27"/>
      <c r="F151" s="27"/>
      <c r="G151" s="28"/>
      <c r="H151" s="27"/>
      <c r="I151" s="27"/>
      <c r="J151" s="27"/>
      <c r="K151" s="27"/>
      <c r="L151" s="27"/>
      <c r="M151" s="27"/>
      <c r="N151" s="27"/>
      <c r="O151" s="27"/>
      <c r="P151" s="27"/>
      <c r="Q151" s="27"/>
      <c r="R151" s="27"/>
      <c r="S151" s="27"/>
      <c r="T151" s="27"/>
      <c r="U151" s="27"/>
      <c r="V151" s="27"/>
      <c r="W151" s="27"/>
      <c r="X151" s="27"/>
      <c r="Y151" s="27"/>
    </row>
    <row r="152" spans="4:25" ht="15">
      <c r="D152" s="27"/>
      <c r="E152" s="27"/>
      <c r="F152" s="27"/>
      <c r="G152" s="28"/>
      <c r="H152" s="27"/>
      <c r="I152" s="27"/>
      <c r="J152" s="27"/>
      <c r="K152" s="27"/>
      <c r="L152" s="27"/>
      <c r="M152" s="27"/>
      <c r="N152" s="27"/>
      <c r="O152" s="27"/>
      <c r="P152" s="27"/>
      <c r="Q152" s="27"/>
      <c r="R152" s="27"/>
      <c r="S152" s="27"/>
      <c r="T152" s="27"/>
      <c r="U152" s="27"/>
      <c r="V152" s="27"/>
      <c r="W152" s="27"/>
      <c r="X152" s="27"/>
      <c r="Y152" s="27"/>
    </row>
    <row r="153" spans="4:25" ht="15">
      <c r="D153" s="27"/>
      <c r="E153" s="27"/>
      <c r="F153" s="27"/>
      <c r="G153" s="28"/>
      <c r="H153" s="27"/>
      <c r="I153" s="27"/>
      <c r="J153" s="27"/>
      <c r="K153" s="27"/>
      <c r="L153" s="27"/>
      <c r="M153" s="27"/>
      <c r="N153" s="27"/>
      <c r="O153" s="27"/>
      <c r="P153" s="27"/>
      <c r="Q153" s="27"/>
      <c r="R153" s="27"/>
      <c r="S153" s="27"/>
      <c r="T153" s="27"/>
      <c r="U153" s="27"/>
      <c r="V153" s="27"/>
      <c r="W153" s="27"/>
      <c r="X153" s="27"/>
      <c r="Y153" s="27"/>
    </row>
    <row r="154" spans="4:25" ht="15">
      <c r="D154" s="27"/>
      <c r="E154" s="27"/>
      <c r="F154" s="27"/>
      <c r="G154" s="28"/>
      <c r="H154" s="27"/>
      <c r="I154" s="27"/>
      <c r="J154" s="27"/>
      <c r="K154" s="27"/>
      <c r="L154" s="27"/>
      <c r="M154" s="27"/>
      <c r="N154" s="27"/>
      <c r="O154" s="27"/>
      <c r="P154" s="27"/>
      <c r="Q154" s="27"/>
      <c r="R154" s="27"/>
      <c r="S154" s="27"/>
      <c r="T154" s="27"/>
      <c r="U154" s="27"/>
      <c r="V154" s="27"/>
      <c r="W154" s="27"/>
      <c r="X154" s="27"/>
      <c r="Y154" s="27"/>
    </row>
    <row r="155" spans="4:25" ht="15">
      <c r="D155" s="27"/>
      <c r="E155" s="27"/>
      <c r="F155" s="27"/>
      <c r="G155" s="28"/>
      <c r="H155" s="27"/>
      <c r="I155" s="27"/>
      <c r="J155" s="27"/>
      <c r="K155" s="27"/>
      <c r="L155" s="27"/>
      <c r="M155" s="27"/>
      <c r="N155" s="27"/>
      <c r="O155" s="27"/>
      <c r="P155" s="27"/>
      <c r="Q155" s="27"/>
      <c r="R155" s="27"/>
      <c r="S155" s="27"/>
      <c r="T155" s="27"/>
      <c r="U155" s="27"/>
      <c r="V155" s="27"/>
      <c r="W155" s="27"/>
      <c r="X155" s="27"/>
      <c r="Y155" s="27"/>
    </row>
    <row r="156" spans="4:25" ht="15">
      <c r="D156" s="27"/>
      <c r="E156" s="27"/>
      <c r="F156" s="27"/>
      <c r="G156" s="28"/>
      <c r="H156" s="27"/>
      <c r="I156" s="27"/>
      <c r="J156" s="27"/>
      <c r="K156" s="27"/>
      <c r="L156" s="27"/>
      <c r="M156" s="27"/>
      <c r="N156" s="27"/>
      <c r="O156" s="27"/>
      <c r="P156" s="27"/>
      <c r="Q156" s="27"/>
      <c r="R156" s="27"/>
      <c r="S156" s="27"/>
      <c r="T156" s="27"/>
      <c r="U156" s="27"/>
      <c r="V156" s="27"/>
      <c r="W156" s="27"/>
      <c r="X156" s="27"/>
      <c r="Y156" s="27"/>
    </row>
    <row r="157" spans="4:25" ht="15">
      <c r="D157" s="27"/>
      <c r="E157" s="27"/>
      <c r="F157" s="27"/>
      <c r="G157" s="28"/>
      <c r="H157" s="27"/>
      <c r="I157" s="27"/>
      <c r="J157" s="27"/>
      <c r="K157" s="27"/>
      <c r="L157" s="27"/>
      <c r="M157" s="27"/>
      <c r="N157" s="27"/>
      <c r="O157" s="27"/>
      <c r="P157" s="27"/>
      <c r="Q157" s="27"/>
      <c r="R157" s="27"/>
      <c r="S157" s="27"/>
      <c r="T157" s="27"/>
      <c r="U157" s="27"/>
      <c r="V157" s="27"/>
      <c r="W157" s="27"/>
      <c r="X157" s="27"/>
      <c r="Y157" s="27"/>
    </row>
    <row r="158" spans="4:25" ht="15">
      <c r="D158" s="27"/>
      <c r="E158" s="27"/>
      <c r="F158" s="27"/>
      <c r="G158" s="28"/>
      <c r="H158" s="27"/>
      <c r="I158" s="27"/>
      <c r="J158" s="27"/>
      <c r="K158" s="27"/>
      <c r="L158" s="27"/>
      <c r="M158" s="27"/>
      <c r="N158" s="27"/>
      <c r="O158" s="27"/>
      <c r="P158" s="27"/>
      <c r="Q158" s="27"/>
      <c r="R158" s="27"/>
      <c r="S158" s="27"/>
      <c r="T158" s="27"/>
      <c r="U158" s="27"/>
      <c r="V158" s="27"/>
      <c r="W158" s="27"/>
      <c r="X158" s="27"/>
      <c r="Y158" s="27"/>
    </row>
    <row r="159" spans="4:25" ht="15">
      <c r="D159" s="27"/>
      <c r="E159" s="27"/>
      <c r="F159" s="27"/>
      <c r="G159" s="28"/>
      <c r="H159" s="27"/>
      <c r="I159" s="27"/>
      <c r="J159" s="27"/>
      <c r="K159" s="27"/>
      <c r="L159" s="27"/>
      <c r="M159" s="27"/>
      <c r="N159" s="27"/>
      <c r="O159" s="27"/>
      <c r="P159" s="27"/>
      <c r="Q159" s="27"/>
      <c r="R159" s="27"/>
      <c r="S159" s="27"/>
      <c r="T159" s="27"/>
      <c r="U159" s="27"/>
      <c r="V159" s="27"/>
      <c r="W159" s="27"/>
      <c r="X159" s="27"/>
      <c r="Y159" s="27"/>
    </row>
    <row r="160" spans="4:25" ht="15">
      <c r="D160" s="27"/>
      <c r="E160" s="27"/>
      <c r="F160" s="27"/>
      <c r="G160" s="28"/>
      <c r="H160" s="27"/>
      <c r="I160" s="27"/>
      <c r="J160" s="27"/>
      <c r="K160" s="27"/>
      <c r="L160" s="27"/>
      <c r="M160" s="27"/>
      <c r="N160" s="27"/>
      <c r="O160" s="27"/>
      <c r="P160" s="27"/>
      <c r="Q160" s="27"/>
      <c r="R160" s="27"/>
      <c r="S160" s="27"/>
      <c r="T160" s="27"/>
      <c r="U160" s="27"/>
      <c r="V160" s="27"/>
      <c r="W160" s="27"/>
      <c r="X160" s="27"/>
      <c r="Y160" s="27"/>
    </row>
    <row r="161" spans="4:25" ht="15">
      <c r="D161" s="27"/>
      <c r="E161" s="27"/>
      <c r="F161" s="27"/>
      <c r="G161" s="28"/>
      <c r="H161" s="27"/>
      <c r="I161" s="27"/>
      <c r="J161" s="27"/>
      <c r="K161" s="27"/>
      <c r="L161" s="27"/>
      <c r="M161" s="27"/>
      <c r="N161" s="27"/>
      <c r="O161" s="27"/>
      <c r="P161" s="27"/>
      <c r="Q161" s="27"/>
      <c r="R161" s="27"/>
      <c r="S161" s="27"/>
      <c r="T161" s="27"/>
      <c r="U161" s="27"/>
      <c r="V161" s="27"/>
      <c r="W161" s="27"/>
      <c r="X161" s="27"/>
      <c r="Y161" s="27"/>
    </row>
    <row r="162" spans="4:25" ht="15">
      <c r="D162" s="27"/>
      <c r="E162" s="27"/>
      <c r="F162" s="27"/>
      <c r="G162" s="28"/>
      <c r="H162" s="27"/>
      <c r="I162" s="27"/>
      <c r="J162" s="27"/>
      <c r="K162" s="27"/>
      <c r="L162" s="27"/>
      <c r="M162" s="27"/>
      <c r="N162" s="27"/>
      <c r="O162" s="27"/>
      <c r="P162" s="27"/>
      <c r="Q162" s="27"/>
      <c r="R162" s="27"/>
      <c r="S162" s="27"/>
      <c r="T162" s="27"/>
      <c r="U162" s="27"/>
      <c r="V162" s="27"/>
      <c r="W162" s="27"/>
      <c r="X162" s="27"/>
      <c r="Y162" s="27"/>
    </row>
    <row r="163" spans="4:25" ht="15">
      <c r="D163" s="27"/>
      <c r="E163" s="27"/>
      <c r="F163" s="27"/>
      <c r="G163" s="28"/>
      <c r="H163" s="27"/>
      <c r="I163" s="27"/>
      <c r="J163" s="27"/>
      <c r="K163" s="27"/>
      <c r="L163" s="27"/>
      <c r="M163" s="27"/>
      <c r="N163" s="27"/>
      <c r="O163" s="27"/>
      <c r="P163" s="27"/>
      <c r="Q163" s="27"/>
      <c r="R163" s="27"/>
      <c r="S163" s="27"/>
      <c r="T163" s="27"/>
      <c r="U163" s="27"/>
      <c r="V163" s="27"/>
      <c r="W163" s="27"/>
      <c r="X163" s="27"/>
      <c r="Y163" s="27"/>
    </row>
    <row r="164" spans="4:25" ht="15">
      <c r="D164" s="27"/>
      <c r="E164" s="27"/>
      <c r="F164" s="27"/>
      <c r="G164" s="28"/>
      <c r="H164" s="27"/>
      <c r="I164" s="27"/>
      <c r="J164" s="27"/>
      <c r="K164" s="27"/>
      <c r="L164" s="27"/>
      <c r="M164" s="27"/>
      <c r="N164" s="27"/>
      <c r="O164" s="27"/>
      <c r="P164" s="27"/>
      <c r="Q164" s="27"/>
      <c r="R164" s="27"/>
      <c r="S164" s="27"/>
      <c r="T164" s="27"/>
      <c r="U164" s="27"/>
      <c r="V164" s="27"/>
      <c r="W164" s="27"/>
      <c r="X164" s="27"/>
      <c r="Y164" s="27"/>
    </row>
    <row r="165" spans="4:25" ht="15">
      <c r="D165" s="27"/>
      <c r="E165" s="27"/>
      <c r="F165" s="27"/>
      <c r="G165" s="28"/>
      <c r="H165" s="27"/>
      <c r="I165" s="27"/>
      <c r="J165" s="27"/>
      <c r="K165" s="27"/>
      <c r="L165" s="27"/>
      <c r="M165" s="27"/>
      <c r="N165" s="27"/>
      <c r="O165" s="27"/>
      <c r="P165" s="27"/>
      <c r="Q165" s="27"/>
      <c r="R165" s="27"/>
      <c r="S165" s="27"/>
      <c r="T165" s="27"/>
      <c r="U165" s="27"/>
      <c r="V165" s="27"/>
      <c r="W165" s="27"/>
      <c r="X165" s="27"/>
      <c r="Y165" s="27"/>
    </row>
    <row r="166" spans="4:25" ht="15">
      <c r="D166" s="27"/>
      <c r="E166" s="27"/>
      <c r="F166" s="27"/>
      <c r="G166" s="28"/>
      <c r="H166" s="27"/>
      <c r="I166" s="27"/>
      <c r="J166" s="27"/>
      <c r="K166" s="27"/>
      <c r="L166" s="27"/>
      <c r="M166" s="27"/>
      <c r="N166" s="27"/>
      <c r="O166" s="27"/>
      <c r="P166" s="27"/>
      <c r="Q166" s="27"/>
      <c r="R166" s="27"/>
      <c r="S166" s="27"/>
      <c r="T166" s="27"/>
      <c r="U166" s="27"/>
      <c r="V166" s="27"/>
      <c r="W166" s="27"/>
      <c r="X166" s="27"/>
      <c r="Y166" s="27"/>
    </row>
    <row r="167" spans="4:25" ht="15">
      <c r="D167" s="27"/>
      <c r="E167" s="27"/>
      <c r="F167" s="27"/>
      <c r="G167" s="28"/>
      <c r="H167" s="27"/>
      <c r="I167" s="27"/>
      <c r="J167" s="27"/>
      <c r="K167" s="27"/>
      <c r="L167" s="27"/>
      <c r="M167" s="27"/>
      <c r="N167" s="27"/>
      <c r="O167" s="27"/>
      <c r="P167" s="27"/>
      <c r="Q167" s="27"/>
      <c r="R167" s="27"/>
      <c r="S167" s="27"/>
      <c r="T167" s="27"/>
      <c r="U167" s="27"/>
      <c r="V167" s="27"/>
      <c r="W167" s="27"/>
      <c r="X167" s="27"/>
      <c r="Y167" s="27"/>
    </row>
    <row r="168" spans="4:25" ht="15">
      <c r="D168" s="27"/>
      <c r="E168" s="27"/>
      <c r="F168" s="27"/>
      <c r="G168" s="28"/>
      <c r="H168" s="27"/>
      <c r="I168" s="27"/>
      <c r="J168" s="27"/>
      <c r="K168" s="27"/>
      <c r="L168" s="27"/>
      <c r="M168" s="27"/>
      <c r="N168" s="27"/>
      <c r="O168" s="27"/>
      <c r="P168" s="27"/>
      <c r="Q168" s="27"/>
      <c r="R168" s="27"/>
      <c r="S168" s="27"/>
      <c r="T168" s="27"/>
      <c r="U168" s="27"/>
      <c r="V168" s="27"/>
      <c r="W168" s="27"/>
      <c r="X168" s="27"/>
      <c r="Y168" s="27"/>
    </row>
    <row r="169" spans="4:25" ht="15">
      <c r="D169" s="27"/>
      <c r="E169" s="27"/>
      <c r="F169" s="27"/>
      <c r="G169" s="28"/>
      <c r="H169" s="27"/>
      <c r="I169" s="27"/>
      <c r="J169" s="27"/>
      <c r="K169" s="27"/>
      <c r="L169" s="27"/>
      <c r="M169" s="27"/>
      <c r="N169" s="27"/>
      <c r="O169" s="27"/>
      <c r="P169" s="27"/>
      <c r="Q169" s="27"/>
      <c r="R169" s="27"/>
      <c r="S169" s="27"/>
      <c r="T169" s="27"/>
      <c r="U169" s="27"/>
      <c r="V169" s="27"/>
      <c r="W169" s="27"/>
      <c r="X169" s="27"/>
      <c r="Y169" s="27"/>
    </row>
    <row r="170" spans="4:25" ht="15">
      <c r="D170" s="27"/>
      <c r="E170" s="27"/>
      <c r="F170" s="27"/>
      <c r="G170" s="28"/>
      <c r="H170" s="27"/>
      <c r="I170" s="27"/>
      <c r="J170" s="27"/>
      <c r="K170" s="27"/>
      <c r="L170" s="27"/>
      <c r="M170" s="27"/>
      <c r="N170" s="27"/>
      <c r="O170" s="27"/>
      <c r="P170" s="27"/>
      <c r="Q170" s="27"/>
      <c r="R170" s="27"/>
      <c r="S170" s="27"/>
      <c r="T170" s="27"/>
      <c r="U170" s="27"/>
      <c r="V170" s="27"/>
      <c r="W170" s="27"/>
      <c r="X170" s="27"/>
      <c r="Y170" s="27"/>
    </row>
    <row r="171" spans="4:25" ht="15">
      <c r="D171" s="27"/>
      <c r="E171" s="27"/>
      <c r="F171" s="27"/>
      <c r="G171" s="28"/>
      <c r="H171" s="27"/>
      <c r="I171" s="27"/>
      <c r="J171" s="27"/>
      <c r="K171" s="27"/>
      <c r="L171" s="27"/>
      <c r="M171" s="27"/>
      <c r="N171" s="27"/>
      <c r="O171" s="27"/>
      <c r="P171" s="27"/>
      <c r="Q171" s="27"/>
      <c r="R171" s="27"/>
      <c r="S171" s="27"/>
      <c r="T171" s="27"/>
      <c r="U171" s="27"/>
      <c r="V171" s="27"/>
      <c r="W171" s="27"/>
      <c r="X171" s="27"/>
      <c r="Y171" s="27"/>
    </row>
    <row r="172" spans="4:25" ht="15">
      <c r="D172" s="27"/>
      <c r="E172" s="27"/>
      <c r="F172" s="27"/>
      <c r="G172" s="28"/>
      <c r="H172" s="27"/>
      <c r="I172" s="27"/>
      <c r="J172" s="27"/>
      <c r="K172" s="27"/>
      <c r="L172" s="27"/>
      <c r="M172" s="27"/>
      <c r="N172" s="27"/>
      <c r="O172" s="27"/>
      <c r="P172" s="27"/>
      <c r="Q172" s="27"/>
      <c r="R172" s="27"/>
      <c r="S172" s="27"/>
      <c r="T172" s="27"/>
      <c r="U172" s="27"/>
      <c r="V172" s="27"/>
      <c r="W172" s="27"/>
      <c r="X172" s="27"/>
      <c r="Y172" s="27"/>
    </row>
    <row r="173" spans="4:25" ht="15">
      <c r="D173" s="27"/>
      <c r="E173" s="27"/>
      <c r="F173" s="27"/>
      <c r="G173" s="28"/>
      <c r="H173" s="27"/>
      <c r="I173" s="27"/>
      <c r="J173" s="27"/>
      <c r="K173" s="27"/>
      <c r="L173" s="27"/>
      <c r="M173" s="27"/>
      <c r="N173" s="27"/>
      <c r="O173" s="27"/>
      <c r="P173" s="27"/>
      <c r="Q173" s="27"/>
      <c r="R173" s="27"/>
      <c r="S173" s="27"/>
      <c r="T173" s="27"/>
      <c r="U173" s="27"/>
      <c r="V173" s="27"/>
      <c r="W173" s="27"/>
      <c r="X173" s="27"/>
      <c r="Y173" s="27"/>
    </row>
    <row r="174" spans="4:25" ht="15">
      <c r="D174" s="27"/>
      <c r="E174" s="27"/>
      <c r="F174" s="27"/>
      <c r="G174" s="28"/>
      <c r="H174" s="27"/>
      <c r="I174" s="27"/>
      <c r="J174" s="27"/>
      <c r="K174" s="27"/>
      <c r="L174" s="27"/>
      <c r="M174" s="27"/>
      <c r="N174" s="27"/>
      <c r="O174" s="27"/>
      <c r="P174" s="27"/>
      <c r="Q174" s="27"/>
      <c r="R174" s="27"/>
      <c r="S174" s="27"/>
      <c r="T174" s="27"/>
      <c r="U174" s="27"/>
      <c r="V174" s="27"/>
      <c r="W174" s="27"/>
      <c r="X174" s="27"/>
      <c r="Y174" s="27"/>
    </row>
    <row r="175" spans="4:25" ht="15">
      <c r="D175" s="27"/>
      <c r="E175" s="27"/>
      <c r="F175" s="27"/>
      <c r="G175" s="28"/>
      <c r="H175" s="27"/>
      <c r="I175" s="27"/>
      <c r="J175" s="27"/>
      <c r="K175" s="27"/>
      <c r="L175" s="27"/>
      <c r="M175" s="27"/>
      <c r="N175" s="27"/>
      <c r="O175" s="27"/>
      <c r="P175" s="27"/>
      <c r="Q175" s="27"/>
      <c r="R175" s="27"/>
      <c r="S175" s="27"/>
      <c r="T175" s="27"/>
      <c r="U175" s="27"/>
      <c r="V175" s="27"/>
      <c r="W175" s="27"/>
      <c r="X175" s="27"/>
      <c r="Y175" s="27"/>
    </row>
    <row r="176" spans="4:25" ht="15">
      <c r="D176" s="27"/>
      <c r="E176" s="27"/>
      <c r="F176" s="27"/>
      <c r="G176" s="28"/>
      <c r="H176" s="27"/>
      <c r="I176" s="27"/>
      <c r="J176" s="27"/>
      <c r="K176" s="27"/>
      <c r="L176" s="27"/>
      <c r="M176" s="27"/>
      <c r="N176" s="27"/>
      <c r="O176" s="27"/>
      <c r="P176" s="27"/>
      <c r="Q176" s="27"/>
      <c r="R176" s="27"/>
      <c r="S176" s="27"/>
      <c r="T176" s="27"/>
      <c r="U176" s="27"/>
      <c r="V176" s="27"/>
      <c r="W176" s="27"/>
      <c r="X176" s="27"/>
      <c r="Y176" s="27"/>
    </row>
    <row r="177" spans="4:25" ht="15">
      <c r="D177" s="27"/>
      <c r="E177" s="27"/>
      <c r="F177" s="27"/>
      <c r="G177" s="28"/>
      <c r="H177" s="27"/>
      <c r="I177" s="27"/>
      <c r="J177" s="27"/>
      <c r="K177" s="27"/>
      <c r="L177" s="27"/>
      <c r="M177" s="27"/>
      <c r="N177" s="27"/>
      <c r="O177" s="27"/>
      <c r="P177" s="27"/>
      <c r="Q177" s="27"/>
      <c r="R177" s="27"/>
      <c r="S177" s="27"/>
      <c r="T177" s="27"/>
      <c r="U177" s="27"/>
      <c r="V177" s="27"/>
      <c r="W177" s="27"/>
      <c r="X177" s="27"/>
      <c r="Y177" s="27"/>
    </row>
    <row r="178" spans="4:25" ht="15">
      <c r="D178" s="27"/>
      <c r="E178" s="27"/>
      <c r="F178" s="27"/>
      <c r="G178" s="28"/>
      <c r="H178" s="27"/>
      <c r="I178" s="27"/>
      <c r="J178" s="27"/>
      <c r="K178" s="27"/>
      <c r="L178" s="27"/>
      <c r="M178" s="27"/>
      <c r="N178" s="27"/>
      <c r="O178" s="27"/>
      <c r="P178" s="27"/>
      <c r="Q178" s="27"/>
      <c r="R178" s="27"/>
      <c r="S178" s="27"/>
      <c r="T178" s="27"/>
      <c r="U178" s="27"/>
      <c r="V178" s="27"/>
      <c r="W178" s="27"/>
      <c r="X178" s="27"/>
      <c r="Y178" s="27"/>
    </row>
    <row r="179" spans="4:25" ht="15">
      <c r="D179" s="27"/>
      <c r="E179" s="27"/>
      <c r="F179" s="27"/>
      <c r="G179" s="28"/>
      <c r="H179" s="27"/>
      <c r="I179" s="27"/>
      <c r="J179" s="27"/>
      <c r="K179" s="27"/>
      <c r="L179" s="27"/>
      <c r="M179" s="27"/>
      <c r="N179" s="27"/>
      <c r="O179" s="27"/>
      <c r="P179" s="27"/>
      <c r="Q179" s="27"/>
      <c r="R179" s="27"/>
      <c r="S179" s="27"/>
      <c r="T179" s="27"/>
      <c r="U179" s="27"/>
      <c r="V179" s="27"/>
      <c r="W179" s="27"/>
      <c r="X179" s="27"/>
      <c r="Y179" s="27"/>
    </row>
    <row r="180" spans="4:25" ht="15">
      <c r="D180" s="27"/>
      <c r="E180" s="27"/>
      <c r="F180" s="27"/>
      <c r="G180" s="28"/>
      <c r="H180" s="27"/>
      <c r="I180" s="27"/>
      <c r="J180" s="27"/>
      <c r="K180" s="27"/>
      <c r="L180" s="27"/>
      <c r="M180" s="27"/>
      <c r="N180" s="27"/>
      <c r="O180" s="27"/>
      <c r="P180" s="27"/>
      <c r="Q180" s="27"/>
      <c r="R180" s="27"/>
      <c r="S180" s="27"/>
      <c r="T180" s="27"/>
      <c r="U180" s="27"/>
      <c r="V180" s="27"/>
      <c r="W180" s="27"/>
      <c r="X180" s="27"/>
      <c r="Y180" s="27"/>
    </row>
    <row r="181" spans="4:25" ht="15">
      <c r="D181" s="27"/>
      <c r="E181" s="27"/>
      <c r="F181" s="27"/>
      <c r="G181" s="28"/>
      <c r="H181" s="27"/>
      <c r="I181" s="27"/>
      <c r="J181" s="27"/>
      <c r="K181" s="27"/>
      <c r="L181" s="27"/>
      <c r="M181" s="27"/>
      <c r="N181" s="27"/>
      <c r="O181" s="27"/>
      <c r="P181" s="27"/>
      <c r="Q181" s="27"/>
      <c r="R181" s="27"/>
      <c r="S181" s="27"/>
      <c r="T181" s="27"/>
      <c r="U181" s="27"/>
      <c r="V181" s="27"/>
      <c r="W181" s="27"/>
      <c r="X181" s="27"/>
      <c r="Y181" s="27"/>
    </row>
    <row r="182" spans="4:25" ht="15">
      <c r="D182" s="27"/>
      <c r="E182" s="27"/>
      <c r="F182" s="27"/>
      <c r="G182" s="28"/>
      <c r="H182" s="27"/>
      <c r="I182" s="27"/>
      <c r="J182" s="27"/>
      <c r="K182" s="27"/>
      <c r="L182" s="27"/>
      <c r="M182" s="27"/>
      <c r="N182" s="27"/>
      <c r="O182" s="27"/>
      <c r="P182" s="27"/>
      <c r="Q182" s="27"/>
      <c r="R182" s="27"/>
      <c r="S182" s="27"/>
      <c r="T182" s="27"/>
      <c r="U182" s="27"/>
      <c r="V182" s="27"/>
      <c r="W182" s="27"/>
      <c r="X182" s="27"/>
      <c r="Y182" s="27"/>
    </row>
    <row r="183" spans="4:25" ht="15">
      <c r="D183" s="27"/>
      <c r="E183" s="27"/>
      <c r="F183" s="27"/>
      <c r="G183" s="28"/>
      <c r="H183" s="27"/>
      <c r="I183" s="27"/>
      <c r="J183" s="27"/>
      <c r="K183" s="27"/>
      <c r="L183" s="27"/>
      <c r="M183" s="27"/>
      <c r="N183" s="27"/>
      <c r="O183" s="27"/>
      <c r="P183" s="27"/>
      <c r="Q183" s="27"/>
      <c r="R183" s="27"/>
      <c r="S183" s="27"/>
      <c r="T183" s="27"/>
      <c r="U183" s="27"/>
      <c r="V183" s="27"/>
      <c r="W183" s="27"/>
      <c r="X183" s="27"/>
      <c r="Y183" s="27"/>
    </row>
    <row r="184" spans="4:25" ht="15">
      <c r="D184" s="27"/>
      <c r="E184" s="27"/>
      <c r="F184" s="27"/>
      <c r="G184" s="28"/>
      <c r="H184" s="27"/>
      <c r="I184" s="27"/>
      <c r="J184" s="27"/>
      <c r="K184" s="27"/>
      <c r="L184" s="27"/>
      <c r="M184" s="27"/>
      <c r="N184" s="27"/>
      <c r="O184" s="27"/>
      <c r="P184" s="27"/>
      <c r="Q184" s="27"/>
      <c r="R184" s="27"/>
      <c r="S184" s="27"/>
      <c r="T184" s="27"/>
      <c r="U184" s="27"/>
      <c r="V184" s="27"/>
      <c r="W184" s="27"/>
      <c r="X184" s="27"/>
      <c r="Y184" s="27"/>
    </row>
    <row r="185" spans="4:25" ht="15">
      <c r="D185" s="27"/>
      <c r="E185" s="27"/>
      <c r="F185" s="27"/>
      <c r="G185" s="28"/>
      <c r="H185" s="27"/>
      <c r="I185" s="27"/>
      <c r="J185" s="27"/>
      <c r="K185" s="27"/>
      <c r="L185" s="27"/>
      <c r="M185" s="27"/>
      <c r="N185" s="27"/>
      <c r="O185" s="27"/>
      <c r="P185" s="27"/>
      <c r="Q185" s="27"/>
      <c r="R185" s="27"/>
      <c r="S185" s="27"/>
      <c r="T185" s="27"/>
      <c r="U185" s="27"/>
      <c r="V185" s="27"/>
      <c r="W185" s="27"/>
      <c r="X185" s="27"/>
      <c r="Y185" s="27"/>
    </row>
    <row r="186" spans="4:25" ht="15">
      <c r="D186" s="27"/>
      <c r="E186" s="27"/>
      <c r="F186" s="27"/>
      <c r="G186" s="28"/>
      <c r="H186" s="27"/>
      <c r="I186" s="27"/>
      <c r="J186" s="27"/>
      <c r="K186" s="27"/>
      <c r="L186" s="27"/>
      <c r="M186" s="27"/>
      <c r="N186" s="27"/>
      <c r="O186" s="27"/>
      <c r="P186" s="27"/>
      <c r="Q186" s="27"/>
      <c r="R186" s="27"/>
      <c r="S186" s="27"/>
      <c r="T186" s="27"/>
      <c r="U186" s="27"/>
      <c r="V186" s="27"/>
      <c r="W186" s="27"/>
      <c r="X186" s="27"/>
      <c r="Y186" s="27"/>
    </row>
    <row r="187" spans="4:25" ht="15">
      <c r="D187" s="27"/>
      <c r="E187" s="27"/>
      <c r="F187" s="27"/>
      <c r="G187" s="28"/>
      <c r="H187" s="27"/>
      <c r="I187" s="27"/>
      <c r="J187" s="27"/>
      <c r="K187" s="27"/>
      <c r="L187" s="27"/>
      <c r="M187" s="27"/>
      <c r="N187" s="27"/>
      <c r="O187" s="27"/>
      <c r="P187" s="27"/>
      <c r="Q187" s="27"/>
      <c r="R187" s="27"/>
      <c r="S187" s="27"/>
      <c r="T187" s="27"/>
      <c r="U187" s="27"/>
      <c r="V187" s="27"/>
      <c r="W187" s="27"/>
      <c r="X187" s="27"/>
      <c r="Y187" s="27"/>
    </row>
    <row r="188" spans="4:25" ht="15">
      <c r="D188" s="27"/>
      <c r="E188" s="27"/>
      <c r="F188" s="27"/>
      <c r="G188" s="28"/>
      <c r="H188" s="27"/>
      <c r="I188" s="27"/>
      <c r="J188" s="27"/>
      <c r="K188" s="27"/>
      <c r="L188" s="27"/>
      <c r="M188" s="27"/>
      <c r="N188" s="27"/>
      <c r="O188" s="27"/>
      <c r="P188" s="27"/>
      <c r="Q188" s="27"/>
      <c r="R188" s="27"/>
      <c r="S188" s="27"/>
      <c r="T188" s="27"/>
      <c r="U188" s="27"/>
      <c r="V188" s="27"/>
      <c r="W188" s="27"/>
      <c r="X188" s="27"/>
      <c r="Y188" s="27"/>
    </row>
    <row r="189" spans="4:25" ht="15">
      <c r="D189" s="27"/>
      <c r="E189" s="27"/>
      <c r="F189" s="27"/>
      <c r="G189" s="28"/>
      <c r="H189" s="27"/>
      <c r="I189" s="27"/>
      <c r="J189" s="27"/>
      <c r="K189" s="27"/>
      <c r="L189" s="27"/>
      <c r="M189" s="27"/>
      <c r="N189" s="27"/>
      <c r="O189" s="27"/>
      <c r="P189" s="27"/>
      <c r="Q189" s="27"/>
      <c r="R189" s="27"/>
      <c r="S189" s="27"/>
      <c r="T189" s="27"/>
      <c r="U189" s="27"/>
      <c r="V189" s="27"/>
      <c r="W189" s="27"/>
      <c r="X189" s="27"/>
      <c r="Y189" s="27"/>
    </row>
    <row r="190" spans="4:25" ht="15">
      <c r="D190" s="27"/>
      <c r="E190" s="27"/>
      <c r="F190" s="27"/>
      <c r="G190" s="28"/>
      <c r="H190" s="27"/>
      <c r="I190" s="27"/>
      <c r="J190" s="27"/>
      <c r="K190" s="27"/>
      <c r="L190" s="27"/>
      <c r="M190" s="27"/>
      <c r="N190" s="27"/>
      <c r="O190" s="27"/>
      <c r="P190" s="27"/>
      <c r="Q190" s="27"/>
      <c r="R190" s="27"/>
      <c r="S190" s="27"/>
      <c r="T190" s="27"/>
      <c r="U190" s="27"/>
      <c r="V190" s="27"/>
      <c r="W190" s="27"/>
      <c r="X190" s="27"/>
      <c r="Y190" s="27"/>
    </row>
    <row r="191" spans="4:25" ht="15">
      <c r="D191" s="27"/>
      <c r="E191" s="27"/>
      <c r="F191" s="27"/>
      <c r="G191" s="28"/>
      <c r="H191" s="27"/>
      <c r="I191" s="27"/>
      <c r="J191" s="27"/>
      <c r="K191" s="27"/>
      <c r="L191" s="27"/>
      <c r="M191" s="27"/>
      <c r="N191" s="27"/>
      <c r="O191" s="27"/>
      <c r="P191" s="27"/>
      <c r="Q191" s="27"/>
      <c r="R191" s="27"/>
      <c r="S191" s="27"/>
      <c r="T191" s="27"/>
      <c r="U191" s="27"/>
      <c r="V191" s="27"/>
      <c r="W191" s="27"/>
      <c r="X191" s="27"/>
      <c r="Y191" s="27"/>
    </row>
    <row r="192" spans="4:25" ht="15">
      <c r="D192" s="27"/>
      <c r="E192" s="27"/>
      <c r="F192" s="27"/>
      <c r="G192" s="28"/>
      <c r="H192" s="27"/>
      <c r="I192" s="27"/>
      <c r="J192" s="27"/>
      <c r="K192" s="27"/>
      <c r="L192" s="27"/>
      <c r="M192" s="27"/>
      <c r="N192" s="27"/>
      <c r="O192" s="27"/>
      <c r="P192" s="27"/>
      <c r="Q192" s="27"/>
      <c r="R192" s="27"/>
      <c r="S192" s="27"/>
      <c r="T192" s="27"/>
      <c r="U192" s="27"/>
      <c r="V192" s="27"/>
      <c r="W192" s="27"/>
      <c r="X192" s="27"/>
      <c r="Y192" s="27"/>
    </row>
    <row r="193" spans="4:25" ht="15">
      <c r="D193" s="27"/>
      <c r="E193" s="27"/>
      <c r="F193" s="27"/>
      <c r="G193" s="28"/>
      <c r="H193" s="27"/>
      <c r="I193" s="27"/>
      <c r="J193" s="27"/>
      <c r="K193" s="27"/>
      <c r="L193" s="27"/>
      <c r="M193" s="27"/>
      <c r="N193" s="27"/>
      <c r="O193" s="27"/>
      <c r="P193" s="27"/>
      <c r="Q193" s="27"/>
      <c r="R193" s="27"/>
      <c r="S193" s="27"/>
      <c r="T193" s="27"/>
      <c r="U193" s="27"/>
      <c r="V193" s="27"/>
      <c r="W193" s="27"/>
      <c r="X193" s="27"/>
      <c r="Y193" s="27"/>
    </row>
    <row r="194" spans="4:25" ht="15">
      <c r="D194" s="27"/>
      <c r="E194" s="27"/>
      <c r="F194" s="27"/>
      <c r="G194" s="28"/>
      <c r="H194" s="27"/>
      <c r="I194" s="27"/>
      <c r="J194" s="27"/>
      <c r="K194" s="27"/>
      <c r="L194" s="27"/>
      <c r="M194" s="27"/>
      <c r="N194" s="27"/>
      <c r="O194" s="27"/>
      <c r="P194" s="27"/>
      <c r="Q194" s="27"/>
      <c r="R194" s="27"/>
      <c r="S194" s="27"/>
      <c r="T194" s="27"/>
      <c r="U194" s="27"/>
      <c r="V194" s="27"/>
      <c r="W194" s="27"/>
      <c r="X194" s="27"/>
      <c r="Y194" s="27"/>
    </row>
    <row r="195" spans="4:25" ht="15">
      <c r="D195" s="27"/>
      <c r="E195" s="27"/>
      <c r="F195" s="27"/>
      <c r="G195" s="28"/>
      <c r="H195" s="27"/>
      <c r="I195" s="27"/>
      <c r="J195" s="27"/>
      <c r="K195" s="27"/>
      <c r="L195" s="27"/>
      <c r="M195" s="27"/>
      <c r="N195" s="27"/>
      <c r="O195" s="27"/>
      <c r="P195" s="27"/>
      <c r="Q195" s="27"/>
      <c r="R195" s="27"/>
      <c r="S195" s="27"/>
      <c r="T195" s="27"/>
      <c r="U195" s="27"/>
      <c r="V195" s="27"/>
      <c r="W195" s="27"/>
      <c r="X195" s="27"/>
      <c r="Y195" s="27"/>
    </row>
    <row r="196" spans="4:25" ht="15">
      <c r="D196" s="27"/>
      <c r="E196" s="27"/>
      <c r="F196" s="27"/>
      <c r="G196" s="28"/>
      <c r="H196" s="27"/>
      <c r="I196" s="27"/>
      <c r="J196" s="27"/>
      <c r="K196" s="27"/>
      <c r="L196" s="27"/>
      <c r="M196" s="27"/>
      <c r="N196" s="27"/>
      <c r="O196" s="27"/>
      <c r="P196" s="27"/>
      <c r="Q196" s="27"/>
      <c r="R196" s="27"/>
      <c r="S196" s="27"/>
      <c r="T196" s="27"/>
      <c r="U196" s="27"/>
      <c r="V196" s="27"/>
      <c r="W196" s="27"/>
      <c r="X196" s="27"/>
      <c r="Y196" s="27"/>
    </row>
    <row r="197" spans="4:25" ht="15">
      <c r="D197" s="27"/>
      <c r="E197" s="27"/>
      <c r="F197" s="27"/>
      <c r="G197" s="28"/>
      <c r="H197" s="27"/>
      <c r="I197" s="27"/>
      <c r="J197" s="27"/>
      <c r="K197" s="27"/>
      <c r="L197" s="27"/>
      <c r="M197" s="27"/>
      <c r="N197" s="27"/>
      <c r="O197" s="27"/>
      <c r="P197" s="27"/>
      <c r="Q197" s="27"/>
      <c r="R197" s="27"/>
      <c r="S197" s="27"/>
      <c r="T197" s="27"/>
      <c r="U197" s="27"/>
      <c r="V197" s="27"/>
      <c r="W197" s="27"/>
      <c r="X197" s="27"/>
      <c r="Y197" s="27"/>
    </row>
    <row r="198" spans="4:25" ht="15">
      <c r="D198" s="27"/>
      <c r="E198" s="27"/>
      <c r="F198" s="27"/>
      <c r="G198" s="28"/>
      <c r="H198" s="27"/>
      <c r="I198" s="27"/>
      <c r="J198" s="27"/>
      <c r="K198" s="27"/>
      <c r="L198" s="27"/>
      <c r="M198" s="27"/>
      <c r="N198" s="27"/>
      <c r="O198" s="27"/>
      <c r="P198" s="27"/>
      <c r="Q198" s="27"/>
      <c r="R198" s="27"/>
      <c r="S198" s="27"/>
      <c r="T198" s="27"/>
      <c r="U198" s="27"/>
      <c r="V198" s="27"/>
      <c r="W198" s="27"/>
      <c r="X198" s="27"/>
      <c r="Y198" s="27"/>
    </row>
    <row r="199" spans="4:25" ht="15">
      <c r="D199" s="27"/>
      <c r="E199" s="27"/>
      <c r="F199" s="27"/>
      <c r="G199" s="28"/>
      <c r="H199" s="27"/>
      <c r="I199" s="27"/>
      <c r="J199" s="27"/>
      <c r="K199" s="27"/>
      <c r="L199" s="27"/>
      <c r="M199" s="27"/>
      <c r="N199" s="27"/>
      <c r="O199" s="27"/>
      <c r="P199" s="27"/>
      <c r="Q199" s="27"/>
      <c r="R199" s="27"/>
      <c r="S199" s="27"/>
      <c r="T199" s="27"/>
      <c r="U199" s="27"/>
      <c r="V199" s="27"/>
      <c r="W199" s="27"/>
      <c r="X199" s="27"/>
      <c r="Y199" s="27"/>
    </row>
    <row r="200" spans="4:25" ht="15">
      <c r="D200" s="27"/>
      <c r="E200" s="27"/>
      <c r="F200" s="27"/>
      <c r="G200" s="28"/>
      <c r="H200" s="27"/>
      <c r="I200" s="27"/>
      <c r="J200" s="27"/>
      <c r="K200" s="27"/>
      <c r="L200" s="27"/>
      <c r="M200" s="27"/>
      <c r="N200" s="27"/>
      <c r="O200" s="27"/>
      <c r="P200" s="27"/>
      <c r="Q200" s="27"/>
      <c r="R200" s="27"/>
      <c r="S200" s="27"/>
      <c r="T200" s="27"/>
      <c r="U200" s="27"/>
      <c r="V200" s="27"/>
      <c r="W200" s="27"/>
      <c r="X200" s="27"/>
      <c r="Y200" s="27"/>
    </row>
    <row r="201" spans="4:25" ht="15">
      <c r="D201" s="27"/>
      <c r="E201" s="27"/>
      <c r="F201" s="27"/>
      <c r="G201" s="28"/>
      <c r="H201" s="27"/>
      <c r="I201" s="27"/>
      <c r="J201" s="27"/>
      <c r="K201" s="27"/>
      <c r="L201" s="27"/>
      <c r="M201" s="27"/>
      <c r="N201" s="27"/>
      <c r="O201" s="27"/>
      <c r="P201" s="27"/>
      <c r="Q201" s="27"/>
      <c r="R201" s="27"/>
      <c r="S201" s="27"/>
      <c r="T201" s="27"/>
      <c r="U201" s="27"/>
      <c r="V201" s="27"/>
      <c r="W201" s="27"/>
      <c r="X201" s="27"/>
      <c r="Y201" s="27"/>
    </row>
    <row r="202" spans="4:25" ht="15">
      <c r="D202" s="27"/>
      <c r="E202" s="27"/>
      <c r="F202" s="27"/>
      <c r="G202" s="28"/>
      <c r="H202" s="27"/>
      <c r="I202" s="27"/>
      <c r="J202" s="27"/>
      <c r="K202" s="27"/>
      <c r="L202" s="27"/>
      <c r="M202" s="27"/>
      <c r="N202" s="27"/>
      <c r="O202" s="27"/>
      <c r="P202" s="27"/>
      <c r="Q202" s="27"/>
      <c r="R202" s="27"/>
      <c r="S202" s="27"/>
      <c r="T202" s="27"/>
      <c r="U202" s="27"/>
      <c r="V202" s="27"/>
      <c r="W202" s="27"/>
      <c r="X202" s="27"/>
      <c r="Y202" s="27"/>
    </row>
    <row r="203" spans="4:25" ht="15">
      <c r="D203" s="27"/>
      <c r="E203" s="27"/>
      <c r="F203" s="27"/>
      <c r="G203" s="28"/>
      <c r="H203" s="27"/>
      <c r="I203" s="27"/>
      <c r="J203" s="27"/>
      <c r="K203" s="27"/>
      <c r="L203" s="27"/>
      <c r="M203" s="27"/>
      <c r="N203" s="27"/>
      <c r="O203" s="27"/>
      <c r="P203" s="27"/>
      <c r="Q203" s="27"/>
      <c r="R203" s="27"/>
      <c r="S203" s="27"/>
      <c r="T203" s="27"/>
      <c r="U203" s="27"/>
      <c r="V203" s="27"/>
      <c r="W203" s="27"/>
      <c r="X203" s="27"/>
      <c r="Y203" s="27"/>
    </row>
  </sheetData>
  <sheetProtection/>
  <mergeCells count="3">
    <mergeCell ref="L4:N4"/>
    <mergeCell ref="P4:R4"/>
    <mergeCell ref="H4:J4"/>
  </mergeCells>
  <printOptions/>
  <pageMargins left="0.24" right="0.17" top="0.6" bottom="0.4" header="0.5" footer="0.25"/>
  <pageSetup horizontalDpi="600" verticalDpi="600" orientation="landscape" scale="65" r:id="rId1"/>
  <rowBreaks count="2" manualBreakCount="2">
    <brk id="42" max="255" man="1"/>
    <brk id="80" max="255" man="1"/>
  </rowBreaks>
</worksheet>
</file>

<file path=xl/worksheets/sheet3.xml><?xml version="1.0" encoding="utf-8"?>
<worksheet xmlns="http://schemas.openxmlformats.org/spreadsheetml/2006/main" xmlns:r="http://schemas.openxmlformats.org/officeDocument/2006/relationships">
  <dimension ref="A1:AR213"/>
  <sheetViews>
    <sheetView view="pageBreakPreview" zoomScale="60" zoomScaleNormal="80" zoomScalePageLayoutView="0" workbookViewId="0" topLeftCell="A1">
      <selection activeCell="B5" sqref="B5"/>
    </sheetView>
  </sheetViews>
  <sheetFormatPr defaultColWidth="9.140625" defaultRowHeight="12.75" outlineLevelCol="1"/>
  <cols>
    <col min="1" max="1" width="4.421875" style="19" customWidth="1"/>
    <col min="2" max="2" width="4.140625" style="19" hidden="1" customWidth="1"/>
    <col min="3" max="3" width="20.57421875" style="66" customWidth="1"/>
    <col min="4" max="4" width="9.28125" style="25" customWidth="1"/>
    <col min="5" max="5" width="9.140625" style="25" customWidth="1"/>
    <col min="6" max="6" width="49.421875" style="20" customWidth="1"/>
    <col min="7" max="7" width="13.28125" style="20" hidden="1" customWidth="1" outlineLevel="1"/>
    <col min="8" max="8" width="2.7109375" style="20" hidden="1" customWidth="1" outlineLevel="1"/>
    <col min="9" max="9" width="13.28125" style="20" hidden="1" customWidth="1" outlineLevel="1"/>
    <col min="10" max="10" width="1.28515625" style="20" hidden="1" customWidth="1" outlineLevel="1"/>
    <col min="11" max="11" width="13.00390625" style="19" customWidth="1" collapsed="1"/>
    <col min="12" max="12" width="1.7109375" style="19" customWidth="1"/>
    <col min="13" max="13" width="10.7109375" style="19" customWidth="1"/>
    <col min="14" max="14" width="1.7109375" style="19" customWidth="1"/>
    <col min="15" max="15" width="13.00390625" style="19" customWidth="1"/>
    <col min="16" max="16" width="1.7109375" style="19" customWidth="1"/>
    <col min="17" max="17" width="10.7109375" style="19" customWidth="1"/>
    <col min="18" max="18" width="1.7109375" style="19" customWidth="1"/>
    <col min="19" max="22" width="8.28125" style="19" customWidth="1"/>
    <col min="23" max="23" width="1.7109375" style="19" customWidth="1"/>
    <col min="24" max="27" width="8.28125" style="19" customWidth="1"/>
    <col min="28" max="28" width="2.00390625" style="19" hidden="1" customWidth="1"/>
    <col min="29" max="29" width="9.140625" style="19" hidden="1" customWidth="1" outlineLevel="1"/>
    <col min="30" max="30" width="12.8515625" style="19" hidden="1" customWidth="1" outlineLevel="1"/>
    <col min="31" max="31" width="12.140625" style="19" hidden="1" customWidth="1" outlineLevel="1"/>
    <col min="32" max="32" width="11.7109375" style="19" hidden="1" customWidth="1" outlineLevel="1"/>
    <col min="33" max="33" width="9.140625" style="19" hidden="1" customWidth="1" outlineLevel="1"/>
    <col min="34" max="34" width="20.7109375" style="19" hidden="1" customWidth="1" outlineLevel="1" collapsed="1"/>
    <col min="35" max="37" width="20.7109375" style="19" hidden="1" customWidth="1" outlineLevel="1"/>
    <col min="38" max="38" width="15.28125" style="19" customWidth="1" collapsed="1"/>
    <col min="39" max="39" width="24.00390625" style="19" customWidth="1"/>
    <col min="40" max="16384" width="9.140625" style="19" customWidth="1"/>
  </cols>
  <sheetData>
    <row r="1" spans="1:38" ht="21.75" thickBot="1">
      <c r="A1" s="73" t="s">
        <v>189</v>
      </c>
      <c r="B1" s="18"/>
      <c r="C1" s="87"/>
      <c r="D1" s="22"/>
      <c r="E1" s="22"/>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row>
    <row r="2" ht="15" hidden="1"/>
    <row r="3" ht="15" hidden="1"/>
    <row r="4" spans="7:39" ht="30">
      <c r="G4" s="282" t="s">
        <v>210</v>
      </c>
      <c r="H4" s="282"/>
      <c r="I4" s="282"/>
      <c r="K4" s="282" t="s">
        <v>50</v>
      </c>
      <c r="L4" s="282"/>
      <c r="M4" s="282"/>
      <c r="N4" s="21"/>
      <c r="O4" s="282" t="s">
        <v>250</v>
      </c>
      <c r="P4" s="282"/>
      <c r="Q4" s="282"/>
      <c r="S4" s="282" t="s">
        <v>163</v>
      </c>
      <c r="T4" s="282"/>
      <c r="U4" s="282"/>
      <c r="V4" s="282"/>
      <c r="W4" s="21"/>
      <c r="X4" s="282" t="s">
        <v>204</v>
      </c>
      <c r="Y4" s="282"/>
      <c r="Z4" s="282"/>
      <c r="AA4" s="282"/>
      <c r="AI4" s="55"/>
      <c r="AJ4" s="55"/>
      <c r="AK4" s="55"/>
      <c r="AL4" s="56" t="s">
        <v>205</v>
      </c>
      <c r="AM4" s="55"/>
    </row>
    <row r="5" spans="7:9" ht="4.5" customHeight="1">
      <c r="G5" s="19"/>
      <c r="H5" s="19"/>
      <c r="I5" s="19"/>
    </row>
    <row r="6" spans="4:44" ht="45.75" thickBot="1">
      <c r="D6" s="22" t="s">
        <v>51</v>
      </c>
      <c r="E6" s="24" t="s">
        <v>185</v>
      </c>
      <c r="F6" s="22" t="s">
        <v>209</v>
      </c>
      <c r="G6" s="24" t="s">
        <v>164</v>
      </c>
      <c r="H6" s="24"/>
      <c r="I6" s="24" t="s">
        <v>249</v>
      </c>
      <c r="J6" s="23"/>
      <c r="K6" s="24" t="s">
        <v>164</v>
      </c>
      <c r="L6" s="24"/>
      <c r="M6" s="24" t="s">
        <v>249</v>
      </c>
      <c r="N6" s="23"/>
      <c r="O6" s="24" t="s">
        <v>164</v>
      </c>
      <c r="P6" s="24"/>
      <c r="Q6" s="24" t="s">
        <v>249</v>
      </c>
      <c r="R6" s="25"/>
      <c r="S6" s="24" t="s">
        <v>52</v>
      </c>
      <c r="T6" s="24" t="s">
        <v>53</v>
      </c>
      <c r="U6" s="26" t="s">
        <v>212</v>
      </c>
      <c r="V6" s="24" t="s">
        <v>213</v>
      </c>
      <c r="W6" s="23"/>
      <c r="X6" s="24" t="s">
        <v>52</v>
      </c>
      <c r="Y6" s="24" t="s">
        <v>53</v>
      </c>
      <c r="Z6" s="24" t="s">
        <v>212</v>
      </c>
      <c r="AA6" s="24" t="s">
        <v>213</v>
      </c>
      <c r="AC6" s="26" t="s">
        <v>55</v>
      </c>
      <c r="AD6" s="26" t="s">
        <v>56</v>
      </c>
      <c r="AE6" s="26" t="s">
        <v>57</v>
      </c>
      <c r="AF6" s="26" t="s">
        <v>58</v>
      </c>
      <c r="AG6" s="26" t="s">
        <v>59</v>
      </c>
      <c r="AH6" s="24" t="s">
        <v>186</v>
      </c>
      <c r="AI6" s="24" t="s">
        <v>187</v>
      </c>
      <c r="AJ6" s="24" t="s">
        <v>188</v>
      </c>
      <c r="AK6" s="24" t="s">
        <v>224</v>
      </c>
      <c r="AL6" s="24" t="s">
        <v>203</v>
      </c>
      <c r="AN6" s="67" t="s">
        <v>221</v>
      </c>
      <c r="AO6" s="67" t="s">
        <v>222</v>
      </c>
      <c r="AP6" s="19" t="s">
        <v>223</v>
      </c>
      <c r="AR6" s="19" t="s">
        <v>224</v>
      </c>
    </row>
    <row r="7" spans="1:34" ht="15">
      <c r="A7" s="19" t="s">
        <v>60</v>
      </c>
      <c r="D7" s="120"/>
      <c r="E7" s="120"/>
      <c r="F7" s="28"/>
      <c r="G7" s="28"/>
      <c r="H7" s="28"/>
      <c r="I7" s="28"/>
      <c r="J7" s="28"/>
      <c r="K7" s="27"/>
      <c r="L7" s="27"/>
      <c r="M7" s="27"/>
      <c r="N7" s="27"/>
      <c r="O7" s="27"/>
      <c r="P7" s="27"/>
      <c r="Q7" s="27"/>
      <c r="R7" s="27"/>
      <c r="S7" s="27"/>
      <c r="T7" s="27"/>
      <c r="U7" s="27"/>
      <c r="V7" s="27"/>
      <c r="W7" s="28"/>
      <c r="X7" s="27"/>
      <c r="Y7" s="27"/>
      <c r="Z7" s="27"/>
      <c r="AA7" s="27"/>
      <c r="AB7" s="27"/>
      <c r="AC7" s="27"/>
      <c r="AD7" s="27"/>
      <c r="AE7" s="27"/>
      <c r="AF7" s="27"/>
      <c r="AG7" s="27"/>
      <c r="AH7" s="27"/>
    </row>
    <row r="8" spans="1:38" ht="24.75" customHeight="1">
      <c r="A8" s="130" t="s">
        <v>40</v>
      </c>
      <c r="B8" s="30"/>
      <c r="C8" s="88"/>
      <c r="D8" s="121"/>
      <c r="E8" s="121"/>
      <c r="F8" s="32"/>
      <c r="G8" s="32"/>
      <c r="H8" s="32"/>
      <c r="I8" s="32"/>
      <c r="J8" s="32"/>
      <c r="K8" s="31"/>
      <c r="L8" s="31"/>
      <c r="M8" s="31"/>
      <c r="N8" s="31"/>
      <c r="O8" s="31"/>
      <c r="P8" s="31"/>
      <c r="Q8" s="31"/>
      <c r="R8" s="31"/>
      <c r="S8" s="31"/>
      <c r="T8" s="31"/>
      <c r="U8" s="31"/>
      <c r="V8" s="31"/>
      <c r="W8" s="32"/>
      <c r="X8" s="31"/>
      <c r="Y8" s="31"/>
      <c r="Z8" s="31"/>
      <c r="AA8" s="31"/>
      <c r="AB8" s="31"/>
      <c r="AC8" s="31"/>
      <c r="AD8" s="31"/>
      <c r="AE8" s="31"/>
      <c r="AF8" s="31"/>
      <c r="AG8" s="31"/>
      <c r="AH8" s="31"/>
      <c r="AI8" s="31"/>
      <c r="AJ8" s="31"/>
      <c r="AK8" s="31"/>
      <c r="AL8" s="31"/>
    </row>
    <row r="9" spans="1:34" ht="15">
      <c r="A9" s="33" t="s">
        <v>61</v>
      </c>
      <c r="D9" s="120"/>
      <c r="E9" s="120"/>
      <c r="F9" s="28"/>
      <c r="G9" s="28"/>
      <c r="H9" s="28"/>
      <c r="I9" s="28"/>
      <c r="J9" s="28"/>
      <c r="K9" s="27"/>
      <c r="L9" s="27"/>
      <c r="M9" s="27"/>
      <c r="N9" s="27"/>
      <c r="O9" s="27"/>
      <c r="P9" s="27"/>
      <c r="Q9" s="27"/>
      <c r="R9" s="27"/>
      <c r="S9" s="27"/>
      <c r="T9" s="27"/>
      <c r="U9" s="27"/>
      <c r="V9" s="27"/>
      <c r="W9" s="27"/>
      <c r="X9" s="27"/>
      <c r="Y9" s="27"/>
      <c r="Z9" s="27"/>
      <c r="AA9" s="27"/>
      <c r="AB9" s="27"/>
      <c r="AC9" s="27"/>
      <c r="AD9" s="27"/>
      <c r="AE9" s="27"/>
      <c r="AF9" s="27"/>
      <c r="AG9" s="27"/>
      <c r="AH9" s="27"/>
    </row>
    <row r="10" spans="3:42" s="74" customFormat="1" ht="60">
      <c r="C10" s="94" t="s">
        <v>248</v>
      </c>
      <c r="D10" s="122" t="s">
        <v>159</v>
      </c>
      <c r="E10" s="122"/>
      <c r="F10" s="96" t="s">
        <v>31</v>
      </c>
      <c r="G10" s="95">
        <v>232.443</v>
      </c>
      <c r="H10" s="95"/>
      <c r="I10" s="95">
        <v>1.49</v>
      </c>
      <c r="J10" s="95"/>
      <c r="K10" s="97">
        <v>157.212368</v>
      </c>
      <c r="L10" s="97"/>
      <c r="M10" s="97">
        <v>0.77127575</v>
      </c>
      <c r="N10" s="97"/>
      <c r="O10" s="97">
        <f>K10-G10</f>
        <v>-75.23063200000001</v>
      </c>
      <c r="P10" s="97"/>
      <c r="Q10" s="97">
        <f>M10-I10</f>
        <v>-0.71872425</v>
      </c>
      <c r="R10" s="97"/>
      <c r="S10" s="97">
        <f aca="true" t="shared" si="0" ref="S10:U17">(X10/7)*12</f>
        <v>-0.19521882857142847</v>
      </c>
      <c r="T10" s="97">
        <f t="shared" si="0"/>
        <v>0.13240167428571428</v>
      </c>
      <c r="U10" s="97">
        <f t="shared" si="0"/>
        <v>-1.934325702857143</v>
      </c>
      <c r="V10" s="97">
        <f>S10+T10+U10</f>
        <v>-1.997142857142857</v>
      </c>
      <c r="W10" s="97"/>
      <c r="X10" s="97">
        <v>-0.11387764999999994</v>
      </c>
      <c r="Y10" s="97">
        <v>0.07723431</v>
      </c>
      <c r="Z10" s="97">
        <f>AP10-Y10-X10</f>
        <v>-1.1283566600000001</v>
      </c>
      <c r="AA10" s="97">
        <f>X10+Y10+Z10</f>
        <v>-1.165</v>
      </c>
      <c r="AB10" s="97"/>
      <c r="AC10" s="97"/>
      <c r="AD10" s="97"/>
      <c r="AE10" s="97"/>
      <c r="AF10" s="97"/>
      <c r="AG10" s="97"/>
      <c r="AH10" s="97">
        <v>0.48298060000000004</v>
      </c>
      <c r="AI10" s="97">
        <v>0</v>
      </c>
      <c r="AJ10" s="97">
        <v>0.5884496199999999</v>
      </c>
      <c r="AK10" s="97">
        <f>0.61+1.7-0.086-0.068</f>
        <v>2.156</v>
      </c>
      <c r="AL10" s="97">
        <f>SUM(AH10:AK11)</f>
        <v>9.9914886</v>
      </c>
      <c r="AN10" s="74">
        <f>-0.858</f>
        <v>-0.858</v>
      </c>
      <c r="AO10" s="74">
        <f>0.307</f>
        <v>0.307</v>
      </c>
      <c r="AP10" s="74">
        <f>AN10-AO10</f>
        <v>-1.165</v>
      </c>
    </row>
    <row r="11" spans="3:42" s="74" customFormat="1" ht="60">
      <c r="C11" s="98" t="s">
        <v>41</v>
      </c>
      <c r="D11" s="123" t="s">
        <v>160</v>
      </c>
      <c r="E11" s="123"/>
      <c r="F11" s="100" t="s">
        <v>32</v>
      </c>
      <c r="G11" s="99">
        <v>1399.243</v>
      </c>
      <c r="H11" s="99"/>
      <c r="I11" s="99">
        <v>6.821</v>
      </c>
      <c r="J11" s="99"/>
      <c r="K11" s="101">
        <v>0</v>
      </c>
      <c r="L11" s="101"/>
      <c r="M11" s="101">
        <v>0</v>
      </c>
      <c r="N11" s="101"/>
      <c r="O11" s="101">
        <f aca="true" t="shared" si="1" ref="O11:O17">K11-G11</f>
        <v>-1399.243</v>
      </c>
      <c r="P11" s="101"/>
      <c r="Q11" s="101">
        <f aca="true" t="shared" si="2" ref="Q11:Q17">M11-I11</f>
        <v>-6.821</v>
      </c>
      <c r="R11" s="101"/>
      <c r="S11" s="101">
        <f t="shared" si="0"/>
        <v>22.543815857142853</v>
      </c>
      <c r="T11" s="101">
        <f t="shared" si="0"/>
        <v>0.7429011428571418</v>
      </c>
      <c r="U11" s="101">
        <f t="shared" si="0"/>
        <v>-1.7981455714285648</v>
      </c>
      <c r="V11" s="101">
        <f aca="true" t="shared" si="3" ref="V11:V17">S11+T11+U11</f>
        <v>21.488571428571433</v>
      </c>
      <c r="W11" s="101"/>
      <c r="X11" s="101">
        <v>13.150559249999999</v>
      </c>
      <c r="Y11" s="101">
        <v>0.4333589999999994</v>
      </c>
      <c r="Z11" s="101">
        <f aca="true" t="shared" si="4" ref="Z11:Z17">AP11-Y11-X11</f>
        <v>-1.0489182499999963</v>
      </c>
      <c r="AA11" s="101">
        <f aca="true" t="shared" si="5" ref="AA11:AA17">X11+Y11+Z11</f>
        <v>12.535000000000002</v>
      </c>
      <c r="AB11" s="101"/>
      <c r="AC11" s="101"/>
      <c r="AD11" s="101"/>
      <c r="AE11" s="101"/>
      <c r="AF11" s="101"/>
      <c r="AG11" s="101"/>
      <c r="AH11" s="101">
        <v>0.6252251600000001</v>
      </c>
      <c r="AI11" s="101">
        <v>0</v>
      </c>
      <c r="AJ11" s="101">
        <v>3.98283322</v>
      </c>
      <c r="AK11" s="101">
        <f>0.61+1.7-0.086-0.068</f>
        <v>2.156</v>
      </c>
      <c r="AL11" s="101">
        <f aca="true" t="shared" si="6" ref="AL11:AL17">SUM(AH11:AK12)</f>
        <v>8.22354301</v>
      </c>
      <c r="AN11" s="74">
        <f>26.824</f>
        <v>26.824</v>
      </c>
      <c r="AO11" s="74">
        <v>14.289</v>
      </c>
      <c r="AP11" s="74">
        <f aca="true" t="shared" si="7" ref="AP11:AP17">AN11-AO11</f>
        <v>12.535000000000002</v>
      </c>
    </row>
    <row r="12" spans="3:42" s="74" customFormat="1" ht="30">
      <c r="C12" s="98" t="s">
        <v>63</v>
      </c>
      <c r="D12" s="123" t="s">
        <v>159</v>
      </c>
      <c r="E12" s="123"/>
      <c r="F12" s="100" t="s">
        <v>273</v>
      </c>
      <c r="G12" s="99">
        <v>26.69</v>
      </c>
      <c r="H12" s="99"/>
      <c r="I12" s="99">
        <v>25.581</v>
      </c>
      <c r="J12" s="99"/>
      <c r="K12" s="101">
        <v>0</v>
      </c>
      <c r="L12" s="101"/>
      <c r="M12" s="101">
        <v>0</v>
      </c>
      <c r="N12" s="101"/>
      <c r="O12" s="101">
        <f t="shared" si="1"/>
        <v>-26.69</v>
      </c>
      <c r="P12" s="101"/>
      <c r="Q12" s="101">
        <f t="shared" si="2"/>
        <v>-25.581</v>
      </c>
      <c r="R12" s="101"/>
      <c r="S12" s="101">
        <f t="shared" si="0"/>
        <v>0.005142582857142857</v>
      </c>
      <c r="T12" s="101">
        <f t="shared" si="0"/>
        <v>0</v>
      </c>
      <c r="U12" s="101">
        <f t="shared" si="0"/>
        <v>-7.739999725714284</v>
      </c>
      <c r="V12" s="101">
        <f t="shared" si="3"/>
        <v>-7.734857142857141</v>
      </c>
      <c r="W12" s="101"/>
      <c r="X12" s="101">
        <v>0.00299984</v>
      </c>
      <c r="Y12" s="101">
        <v>0</v>
      </c>
      <c r="Z12" s="101">
        <f t="shared" si="4"/>
        <v>-4.51499984</v>
      </c>
      <c r="AA12" s="101">
        <f t="shared" si="5"/>
        <v>-4.512</v>
      </c>
      <c r="AB12" s="101"/>
      <c r="AC12" s="101"/>
      <c r="AD12" s="101"/>
      <c r="AE12" s="101"/>
      <c r="AF12" s="101"/>
      <c r="AG12" s="101"/>
      <c r="AH12" s="101">
        <v>0.19766800999999998</v>
      </c>
      <c r="AI12" s="101">
        <v>0</v>
      </c>
      <c r="AJ12" s="101">
        <v>0.20681661999999998</v>
      </c>
      <c r="AK12" s="101">
        <f>0.305+0.826-0.043-0.033</f>
        <v>1.0550000000000002</v>
      </c>
      <c r="AL12" s="101">
        <f t="shared" si="6"/>
        <v>3.43533475</v>
      </c>
      <c r="AN12" s="74">
        <f>-4.536</f>
        <v>-4.536</v>
      </c>
      <c r="AO12" s="74">
        <f>-0.024</f>
        <v>-0.024</v>
      </c>
      <c r="AP12" s="74">
        <f t="shared" si="7"/>
        <v>-4.512</v>
      </c>
    </row>
    <row r="13" spans="3:42" s="74" customFormat="1" ht="75">
      <c r="C13" s="98" t="s">
        <v>27</v>
      </c>
      <c r="D13" s="123" t="s">
        <v>160</v>
      </c>
      <c r="E13" s="123"/>
      <c r="F13" s="100" t="s">
        <v>251</v>
      </c>
      <c r="G13" s="99">
        <v>183.848</v>
      </c>
      <c r="H13" s="99"/>
      <c r="I13" s="99">
        <v>26.434</v>
      </c>
      <c r="J13" s="99"/>
      <c r="K13" s="101">
        <v>106.54709799999999</v>
      </c>
      <c r="L13" s="101"/>
      <c r="M13" s="101">
        <v>27.15946539</v>
      </c>
      <c r="N13" s="101"/>
      <c r="O13" s="101">
        <f t="shared" si="1"/>
        <v>-77.30090200000002</v>
      </c>
      <c r="P13" s="101"/>
      <c r="Q13" s="101">
        <f t="shared" si="2"/>
        <v>0.7254653900000001</v>
      </c>
      <c r="R13" s="101"/>
      <c r="S13" s="101">
        <f t="shared" si="0"/>
        <v>1.9234536857142854</v>
      </c>
      <c r="T13" s="101">
        <f t="shared" si="0"/>
        <v>-0.6413359885714285</v>
      </c>
      <c r="U13" s="101">
        <f t="shared" si="0"/>
        <v>-2.699831982857143</v>
      </c>
      <c r="V13" s="101">
        <f t="shared" si="3"/>
        <v>-1.417714285714286</v>
      </c>
      <c r="W13" s="101"/>
      <c r="X13" s="101">
        <v>1.12201465</v>
      </c>
      <c r="Y13" s="101">
        <v>-0.37411266</v>
      </c>
      <c r="Z13" s="101">
        <f t="shared" si="4"/>
        <v>-1.5749019899999999</v>
      </c>
      <c r="AA13" s="101">
        <f t="shared" si="5"/>
        <v>-0.827</v>
      </c>
      <c r="AB13" s="101"/>
      <c r="AC13" s="101"/>
      <c r="AD13" s="101"/>
      <c r="AE13" s="101"/>
      <c r="AF13" s="101"/>
      <c r="AG13" s="101"/>
      <c r="AH13" s="101">
        <v>0.42748818</v>
      </c>
      <c r="AI13" s="101">
        <v>0</v>
      </c>
      <c r="AJ13" s="101">
        <v>0.4913619400000001</v>
      </c>
      <c r="AK13" s="101">
        <f>0.305+0.83-0.043-0.035</f>
        <v>1.0570000000000002</v>
      </c>
      <c r="AL13" s="101">
        <f t="shared" si="6"/>
        <v>4.52016238</v>
      </c>
      <c r="AN13" s="74">
        <f>-0.098</f>
        <v>-0.098</v>
      </c>
      <c r="AO13" s="74">
        <f>0.729</f>
        <v>0.729</v>
      </c>
      <c r="AP13" s="74">
        <f t="shared" si="7"/>
        <v>-0.827</v>
      </c>
    </row>
    <row r="14" spans="3:42" s="74" customFormat="1" ht="60">
      <c r="C14" s="98" t="s">
        <v>65</v>
      </c>
      <c r="D14" s="123" t="s">
        <v>160</v>
      </c>
      <c r="E14" s="123"/>
      <c r="F14" s="100" t="s">
        <v>274</v>
      </c>
      <c r="G14" s="99">
        <v>88.553</v>
      </c>
      <c r="H14" s="99"/>
      <c r="I14" s="99">
        <v>33.673</v>
      </c>
      <c r="J14" s="99"/>
      <c r="K14" s="101">
        <v>89.8477</v>
      </c>
      <c r="L14" s="101"/>
      <c r="M14" s="101">
        <v>35.37034687</v>
      </c>
      <c r="N14" s="101"/>
      <c r="O14" s="101">
        <f t="shared" si="1"/>
        <v>1.294700000000006</v>
      </c>
      <c r="P14" s="101"/>
      <c r="Q14" s="101">
        <f t="shared" si="2"/>
        <v>1.697346869999997</v>
      </c>
      <c r="R14" s="101"/>
      <c r="S14" s="101">
        <f t="shared" si="0"/>
        <v>0.7219705542857143</v>
      </c>
      <c r="T14" s="101">
        <f t="shared" si="0"/>
        <v>0.34198068000000004</v>
      </c>
      <c r="U14" s="101">
        <f t="shared" si="0"/>
        <v>-1.40166552</v>
      </c>
      <c r="V14" s="101">
        <f t="shared" si="3"/>
        <v>-0.33771428571428586</v>
      </c>
      <c r="W14" s="101"/>
      <c r="X14" s="101">
        <v>0.42114949</v>
      </c>
      <c r="Y14" s="101">
        <v>0.19948873</v>
      </c>
      <c r="Z14" s="101">
        <f t="shared" si="4"/>
        <v>-0.8176382200000001</v>
      </c>
      <c r="AA14" s="101">
        <f t="shared" si="5"/>
        <v>-0.19700000000000006</v>
      </c>
      <c r="AB14" s="101"/>
      <c r="AC14" s="101"/>
      <c r="AD14" s="101"/>
      <c r="AE14" s="101"/>
      <c r="AF14" s="101"/>
      <c r="AG14" s="101"/>
      <c r="AH14" s="101">
        <v>0.60702954</v>
      </c>
      <c r="AI14" s="101">
        <v>0</v>
      </c>
      <c r="AJ14" s="101">
        <v>0.6192827200000001</v>
      </c>
      <c r="AK14" s="101">
        <f>0.381+1.032-0.054-0.041</f>
        <v>1.318</v>
      </c>
      <c r="AL14" s="101">
        <f t="shared" si="6"/>
        <v>8.55194639</v>
      </c>
      <c r="AN14" s="74">
        <v>0.711</v>
      </c>
      <c r="AO14" s="74">
        <v>0.908</v>
      </c>
      <c r="AP14" s="74">
        <f t="shared" si="7"/>
        <v>-0.19700000000000006</v>
      </c>
    </row>
    <row r="15" spans="3:42" ht="32.25" customHeight="1">
      <c r="C15" s="102" t="s">
        <v>211</v>
      </c>
      <c r="D15" s="124" t="s">
        <v>160</v>
      </c>
      <c r="E15" s="124"/>
      <c r="F15" s="103"/>
      <c r="G15" s="103">
        <v>0</v>
      </c>
      <c r="H15" s="103"/>
      <c r="I15" s="103">
        <v>0</v>
      </c>
      <c r="J15" s="103"/>
      <c r="K15" s="104">
        <v>0</v>
      </c>
      <c r="L15" s="104"/>
      <c r="M15" s="104">
        <v>1.0568969</v>
      </c>
      <c r="N15" s="104"/>
      <c r="O15" s="104">
        <f t="shared" si="1"/>
        <v>0</v>
      </c>
      <c r="P15" s="104"/>
      <c r="Q15" s="104">
        <f t="shared" si="2"/>
        <v>1.0568969</v>
      </c>
      <c r="R15" s="104"/>
      <c r="S15" s="104">
        <f t="shared" si="0"/>
        <v>0</v>
      </c>
      <c r="T15" s="104">
        <f t="shared" si="0"/>
        <v>0</v>
      </c>
      <c r="U15" s="104">
        <f t="shared" si="0"/>
        <v>0.06857142857142857</v>
      </c>
      <c r="V15" s="104">
        <f t="shared" si="3"/>
        <v>0.06857142857142857</v>
      </c>
      <c r="W15" s="104"/>
      <c r="X15" s="104">
        <v>0</v>
      </c>
      <c r="Y15" s="104">
        <v>0</v>
      </c>
      <c r="Z15" s="104">
        <f t="shared" si="4"/>
        <v>0.04</v>
      </c>
      <c r="AA15" s="104">
        <f t="shared" si="5"/>
        <v>0.04</v>
      </c>
      <c r="AB15" s="104"/>
      <c r="AC15" s="104"/>
      <c r="AD15" s="104"/>
      <c r="AE15" s="104"/>
      <c r="AF15" s="104"/>
      <c r="AG15" s="104"/>
      <c r="AH15" s="104">
        <v>0.71029068</v>
      </c>
      <c r="AI15" s="104">
        <v>0</v>
      </c>
      <c r="AJ15" s="104">
        <v>2.23334345</v>
      </c>
      <c r="AK15" s="104">
        <f>0.838+2.321-0.054-0.041</f>
        <v>3.0640000000000005</v>
      </c>
      <c r="AL15" s="104">
        <f t="shared" si="6"/>
        <v>12.51758958</v>
      </c>
      <c r="AN15" s="19">
        <f>0.04</f>
        <v>0.04</v>
      </c>
      <c r="AO15" s="19">
        <v>0</v>
      </c>
      <c r="AP15" s="19">
        <f t="shared" si="7"/>
        <v>0.04</v>
      </c>
    </row>
    <row r="16" spans="3:42" s="74" customFormat="1" ht="105">
      <c r="C16" s="98" t="s">
        <v>67</v>
      </c>
      <c r="D16" s="123" t="s">
        <v>160</v>
      </c>
      <c r="E16" s="108" t="s">
        <v>279</v>
      </c>
      <c r="F16" s="100" t="s">
        <v>30</v>
      </c>
      <c r="G16" s="99">
        <v>1231.809</v>
      </c>
      <c r="H16" s="99"/>
      <c r="I16" s="99">
        <v>43.347</v>
      </c>
      <c r="J16" s="99"/>
      <c r="K16" s="101">
        <v>1176.0012239999999</v>
      </c>
      <c r="L16" s="101"/>
      <c r="M16" s="101">
        <v>45.26654765999999</v>
      </c>
      <c r="N16" s="101"/>
      <c r="O16" s="101">
        <f t="shared" si="1"/>
        <v>-55.8077760000001</v>
      </c>
      <c r="P16" s="101"/>
      <c r="Q16" s="101">
        <f t="shared" si="2"/>
        <v>1.919547659999992</v>
      </c>
      <c r="R16" s="101"/>
      <c r="S16" s="101">
        <f t="shared" si="0"/>
        <v>13.256909400000001</v>
      </c>
      <c r="T16" s="101">
        <f t="shared" si="0"/>
        <v>0.7781782799999993</v>
      </c>
      <c r="U16" s="101">
        <f t="shared" si="0"/>
        <v>-2.4276591085714303</v>
      </c>
      <c r="V16" s="101">
        <f t="shared" si="3"/>
        <v>11.60742857142857</v>
      </c>
      <c r="W16" s="101"/>
      <c r="X16" s="101">
        <v>7.7331971500000005</v>
      </c>
      <c r="Y16" s="101">
        <v>0.4539373299999996</v>
      </c>
      <c r="Z16" s="101">
        <f t="shared" si="4"/>
        <v>-1.416134480000001</v>
      </c>
      <c r="AA16" s="101">
        <f t="shared" si="5"/>
        <v>6.771</v>
      </c>
      <c r="AB16" s="101"/>
      <c r="AC16" s="101"/>
      <c r="AD16" s="101"/>
      <c r="AE16" s="101"/>
      <c r="AF16" s="101"/>
      <c r="AG16" s="101"/>
      <c r="AH16" s="101">
        <v>1.25804205</v>
      </c>
      <c r="AI16" s="101">
        <v>0</v>
      </c>
      <c r="AJ16" s="101">
        <v>1.5139133999999996</v>
      </c>
      <c r="AK16" s="101">
        <f>1.067+2.94-0.151-0.118</f>
        <v>3.738</v>
      </c>
      <c r="AL16" s="101">
        <f t="shared" si="6"/>
        <v>9.47659516</v>
      </c>
      <c r="AN16" s="74">
        <f>12.344</f>
        <v>12.344</v>
      </c>
      <c r="AO16" s="74">
        <v>5.573</v>
      </c>
      <c r="AP16" s="74">
        <f t="shared" si="7"/>
        <v>6.770999999999999</v>
      </c>
    </row>
    <row r="17" spans="3:42" ht="24.75" customHeight="1">
      <c r="C17" s="66" t="s">
        <v>68</v>
      </c>
      <c r="D17" s="120" t="s">
        <v>159</v>
      </c>
      <c r="E17" s="120"/>
      <c r="F17" s="28"/>
      <c r="G17" s="46">
        <v>229.659</v>
      </c>
      <c r="H17" s="46"/>
      <c r="I17" s="46">
        <v>7.652</v>
      </c>
      <c r="J17" s="28"/>
      <c r="K17" s="46">
        <v>170.04189799999997</v>
      </c>
      <c r="L17" s="46"/>
      <c r="M17" s="46">
        <v>7.44254845</v>
      </c>
      <c r="N17" s="46"/>
      <c r="O17" s="46">
        <f t="shared" si="1"/>
        <v>-59.61710200000002</v>
      </c>
      <c r="P17" s="46"/>
      <c r="Q17" s="46">
        <f t="shared" si="2"/>
        <v>-0.20945154999999982</v>
      </c>
      <c r="R17" s="46"/>
      <c r="S17" s="46">
        <f t="shared" si="0"/>
        <v>4.1551596857142865</v>
      </c>
      <c r="T17" s="46">
        <f t="shared" si="0"/>
        <v>-0.5788854171428571</v>
      </c>
      <c r="U17" s="46">
        <f t="shared" si="0"/>
        <v>-1.2791314114285717</v>
      </c>
      <c r="V17" s="46">
        <f t="shared" si="3"/>
        <v>2.2971428571428576</v>
      </c>
      <c r="W17" s="45"/>
      <c r="X17" s="46">
        <v>2.42384315</v>
      </c>
      <c r="Y17" s="46">
        <v>-0.33768316</v>
      </c>
      <c r="Z17" s="46">
        <f t="shared" si="4"/>
        <v>-0.7461599900000002</v>
      </c>
      <c r="AA17" s="46">
        <f t="shared" si="5"/>
        <v>1.3399999999999999</v>
      </c>
      <c r="AB17" s="45"/>
      <c r="AC17" s="45"/>
      <c r="AD17" s="45"/>
      <c r="AE17" s="45"/>
      <c r="AF17" s="45"/>
      <c r="AG17" s="45"/>
      <c r="AH17" s="46">
        <v>0.39040794</v>
      </c>
      <c r="AI17" s="46">
        <v>0</v>
      </c>
      <c r="AJ17" s="46">
        <v>1.78523177</v>
      </c>
      <c r="AK17" s="46">
        <f>0.229+0.619-0.032-0.025</f>
        <v>0.7909999999999999</v>
      </c>
      <c r="AL17" s="46">
        <f t="shared" si="6"/>
        <v>2.96663971</v>
      </c>
      <c r="AN17" s="19">
        <f>1.985</f>
        <v>1.985</v>
      </c>
      <c r="AO17" s="19">
        <v>0.645</v>
      </c>
      <c r="AP17" s="19">
        <f t="shared" si="7"/>
        <v>1.34</v>
      </c>
    </row>
    <row r="18" spans="3:38" ht="15" hidden="1">
      <c r="C18" s="66" t="s">
        <v>69</v>
      </c>
      <c r="D18" s="120" t="s">
        <v>161</v>
      </c>
      <c r="E18" s="120"/>
      <c r="F18" s="28"/>
      <c r="G18" s="46">
        <v>0</v>
      </c>
      <c r="H18" s="46"/>
      <c r="I18" s="46">
        <v>0</v>
      </c>
      <c r="J18" s="28"/>
      <c r="K18" s="46">
        <v>0</v>
      </c>
      <c r="L18" s="46"/>
      <c r="M18" s="46">
        <v>0</v>
      </c>
      <c r="N18" s="46"/>
      <c r="O18" s="46"/>
      <c r="P18" s="46"/>
      <c r="Q18" s="46"/>
      <c r="R18" s="46"/>
      <c r="S18" s="46">
        <f>(X18/8)*12</f>
        <v>0</v>
      </c>
      <c r="T18" s="46">
        <f>(Y18/8)*12</f>
        <v>0</v>
      </c>
      <c r="U18" s="46">
        <f>(Z18/8)*12</f>
        <v>0</v>
      </c>
      <c r="V18" s="46">
        <f>S18+T18</f>
        <v>0</v>
      </c>
      <c r="W18" s="45"/>
      <c r="X18" s="46">
        <v>0</v>
      </c>
      <c r="Y18" s="46">
        <v>0</v>
      </c>
      <c r="Z18" s="46"/>
      <c r="AA18" s="46">
        <f>X18+Y18</f>
        <v>0</v>
      </c>
      <c r="AB18" s="45"/>
      <c r="AC18" s="45"/>
      <c r="AD18" s="45"/>
      <c r="AE18" s="45"/>
      <c r="AF18" s="45"/>
      <c r="AG18" s="45"/>
      <c r="AH18" s="45"/>
      <c r="AI18" s="45"/>
      <c r="AJ18" s="45"/>
      <c r="AK18" s="45"/>
      <c r="AL18" s="45">
        <f>SUM(AH18:AJ18)</f>
        <v>0</v>
      </c>
    </row>
    <row r="19" spans="3:38" ht="33.75" customHeight="1">
      <c r="C19" s="89" t="s">
        <v>70</v>
      </c>
      <c r="D19" s="125"/>
      <c r="E19" s="125"/>
      <c r="F19" s="36"/>
      <c r="G19" s="47">
        <f>SUM(G10:G18)</f>
        <v>3392.2450000000003</v>
      </c>
      <c r="H19" s="47"/>
      <c r="I19" s="47">
        <f>SUM(I10:I18)</f>
        <v>144.998</v>
      </c>
      <c r="J19" s="36"/>
      <c r="K19" s="47">
        <f>SUM(K10:K18)</f>
        <v>1699.6502879999998</v>
      </c>
      <c r="L19" s="47"/>
      <c r="M19" s="47">
        <f>SUM(M10:M18)</f>
        <v>117.06708101999999</v>
      </c>
      <c r="N19" s="47"/>
      <c r="O19" s="47">
        <f>SUM(O10:O18)</f>
        <v>-1692.594712</v>
      </c>
      <c r="P19" s="47"/>
      <c r="Q19" s="47">
        <f>SUM(Q10:Q18)</f>
        <v>-27.930918980000012</v>
      </c>
      <c r="R19" s="47"/>
      <c r="S19" s="47">
        <f>SUM(S10:S18)</f>
        <v>42.41123293714286</v>
      </c>
      <c r="T19" s="47">
        <f>SUM(T10:T18)</f>
        <v>0.7752403714285699</v>
      </c>
      <c r="U19" s="47">
        <f>SUM(U10:U18)</f>
        <v>-19.21218759428571</v>
      </c>
      <c r="V19" s="47">
        <f>SUM(V10:V18)</f>
        <v>23.97428571428572</v>
      </c>
      <c r="W19" s="45"/>
      <c r="X19" s="47">
        <f>SUM(X10:X18)</f>
        <v>24.73988588</v>
      </c>
      <c r="Y19" s="47">
        <f>SUM(Y10:Y18)</f>
        <v>0.45222354999999903</v>
      </c>
      <c r="Z19" s="47">
        <f>SUM(Z10:Z18)</f>
        <v>-11.207109429999997</v>
      </c>
      <c r="AA19" s="47">
        <f>SUM(AA10:AA18)</f>
        <v>13.985000000000001</v>
      </c>
      <c r="AB19" s="45"/>
      <c r="AC19" s="45"/>
      <c r="AD19" s="45"/>
      <c r="AE19" s="45"/>
      <c r="AF19" s="45"/>
      <c r="AG19" s="45"/>
      <c r="AH19" s="47">
        <f>SUM(AH10:AH18)</f>
        <v>4.6991321600000004</v>
      </c>
      <c r="AI19" s="47">
        <f>SUM(AI10:AI18)</f>
        <v>0</v>
      </c>
      <c r="AJ19" s="47">
        <f>SUM(AJ10:AJ18)</f>
        <v>11.421232739999999</v>
      </c>
      <c r="AK19" s="47">
        <f>SUM(AK10:AK18)</f>
        <v>15.335</v>
      </c>
      <c r="AL19" s="45">
        <f>SUM(AH19:AK19)</f>
        <v>31.4553649</v>
      </c>
    </row>
    <row r="20" spans="1:38" ht="24.75" customHeight="1">
      <c r="A20" s="33" t="s">
        <v>71</v>
      </c>
      <c r="D20" s="120"/>
      <c r="E20" s="120"/>
      <c r="F20" s="28"/>
      <c r="G20" s="28"/>
      <c r="H20" s="28"/>
      <c r="I20" s="28"/>
      <c r="J20" s="28"/>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row>
    <row r="21" spans="3:42" s="78" customFormat="1" ht="30">
      <c r="C21" s="94" t="s">
        <v>72</v>
      </c>
      <c r="D21" s="126" t="s">
        <v>162</v>
      </c>
      <c r="E21" s="126"/>
      <c r="F21" s="96" t="s">
        <v>254</v>
      </c>
      <c r="G21" s="96">
        <v>0</v>
      </c>
      <c r="H21" s="96"/>
      <c r="I21" s="96">
        <v>0</v>
      </c>
      <c r="J21" s="96"/>
      <c r="K21" s="114">
        <v>0</v>
      </c>
      <c r="L21" s="114"/>
      <c r="M21" s="114">
        <v>0</v>
      </c>
      <c r="N21" s="114"/>
      <c r="O21" s="114">
        <f aca="true" t="shared" si="8" ref="O21:O27">K21-G21</f>
        <v>0</v>
      </c>
      <c r="P21" s="114"/>
      <c r="Q21" s="114">
        <f aca="true" t="shared" si="9" ref="Q21:Q27">M21-I21</f>
        <v>0</v>
      </c>
      <c r="R21" s="114"/>
      <c r="S21" s="114">
        <f aca="true" t="shared" si="10" ref="S21:U27">(X21/7)*12</f>
        <v>0</v>
      </c>
      <c r="T21" s="114">
        <f t="shared" si="10"/>
        <v>0</v>
      </c>
      <c r="U21" s="114">
        <f t="shared" si="10"/>
        <v>0</v>
      </c>
      <c r="V21" s="114">
        <f aca="true" t="shared" si="11" ref="V21:V27">S21+T21+U21</f>
        <v>0</v>
      </c>
      <c r="W21" s="114"/>
      <c r="X21" s="114">
        <v>0</v>
      </c>
      <c r="Y21" s="114">
        <v>0</v>
      </c>
      <c r="Z21" s="114">
        <f aca="true" t="shared" si="12" ref="Z21:Z27">AP21-Y21-X21</f>
        <v>0</v>
      </c>
      <c r="AA21" s="114">
        <f aca="true" t="shared" si="13" ref="AA21:AA27">X21+Y21+Z21</f>
        <v>0</v>
      </c>
      <c r="AB21" s="114"/>
      <c r="AC21" s="114"/>
      <c r="AD21" s="114"/>
      <c r="AE21" s="114"/>
      <c r="AF21" s="114"/>
      <c r="AG21" s="114"/>
      <c r="AH21" s="114">
        <v>0</v>
      </c>
      <c r="AI21" s="114">
        <v>0</v>
      </c>
      <c r="AJ21" s="114">
        <v>0</v>
      </c>
      <c r="AK21" s="114">
        <v>0</v>
      </c>
      <c r="AL21" s="114">
        <f aca="true" t="shared" si="14" ref="AL21:AL27">SUM(AH21:AK21)</f>
        <v>0</v>
      </c>
      <c r="AN21" s="78">
        <v>0</v>
      </c>
      <c r="AO21" s="78">
        <v>0</v>
      </c>
      <c r="AP21" s="78">
        <f aca="true" t="shared" si="15" ref="AP21:AP27">AN21-AO21</f>
        <v>0</v>
      </c>
    </row>
    <row r="22" spans="3:42" ht="24.75" customHeight="1">
      <c r="C22" s="105" t="s">
        <v>73</v>
      </c>
      <c r="D22" s="127" t="s">
        <v>161</v>
      </c>
      <c r="E22" s="127"/>
      <c r="F22" s="106"/>
      <c r="G22" s="106">
        <v>0</v>
      </c>
      <c r="H22" s="106"/>
      <c r="I22" s="106">
        <v>22.547</v>
      </c>
      <c r="J22" s="106"/>
      <c r="K22" s="107">
        <v>0</v>
      </c>
      <c r="L22" s="107"/>
      <c r="M22" s="107">
        <v>23.915407</v>
      </c>
      <c r="N22" s="107"/>
      <c r="O22" s="107">
        <f t="shared" si="8"/>
        <v>0</v>
      </c>
      <c r="P22" s="107"/>
      <c r="Q22" s="107">
        <f t="shared" si="9"/>
        <v>1.3684069999999977</v>
      </c>
      <c r="R22" s="107"/>
      <c r="S22" s="107">
        <f t="shared" si="10"/>
        <v>0</v>
      </c>
      <c r="T22" s="107">
        <f t="shared" si="10"/>
        <v>0.14926971428571428</v>
      </c>
      <c r="U22" s="107">
        <f t="shared" si="10"/>
        <v>3.685587428571429</v>
      </c>
      <c r="V22" s="107">
        <f t="shared" si="11"/>
        <v>3.8348571428571434</v>
      </c>
      <c r="W22" s="107"/>
      <c r="X22" s="107">
        <v>0</v>
      </c>
      <c r="Y22" s="107">
        <v>0.087074</v>
      </c>
      <c r="Z22" s="107">
        <f t="shared" si="12"/>
        <v>2.1499260000000002</v>
      </c>
      <c r="AA22" s="107">
        <f t="shared" si="13"/>
        <v>2.237</v>
      </c>
      <c r="AB22" s="107"/>
      <c r="AC22" s="107"/>
      <c r="AD22" s="107"/>
      <c r="AE22" s="107"/>
      <c r="AF22" s="107"/>
      <c r="AG22" s="107"/>
      <c r="AH22" s="107">
        <v>0</v>
      </c>
      <c r="AI22" s="107">
        <v>0</v>
      </c>
      <c r="AJ22" s="107">
        <v>0</v>
      </c>
      <c r="AK22" s="107">
        <v>0</v>
      </c>
      <c r="AL22" s="107">
        <f t="shared" si="14"/>
        <v>0</v>
      </c>
      <c r="AN22" s="19">
        <f>2.075</f>
        <v>2.075</v>
      </c>
      <c r="AO22" s="19">
        <v>-0.162</v>
      </c>
      <c r="AP22" s="19">
        <f t="shared" si="15"/>
        <v>2.237</v>
      </c>
    </row>
    <row r="23" spans="3:42" s="74" customFormat="1" ht="30">
      <c r="C23" s="98" t="s">
        <v>255</v>
      </c>
      <c r="D23" s="123" t="s">
        <v>162</v>
      </c>
      <c r="E23" s="123"/>
      <c r="F23" s="100" t="s">
        <v>256</v>
      </c>
      <c r="G23" s="99">
        <v>0</v>
      </c>
      <c r="H23" s="99"/>
      <c r="I23" s="99">
        <v>21.036</v>
      </c>
      <c r="J23" s="99"/>
      <c r="K23" s="101">
        <v>0</v>
      </c>
      <c r="L23" s="101"/>
      <c r="M23" s="101">
        <v>0.32093063</v>
      </c>
      <c r="N23" s="101"/>
      <c r="O23" s="101">
        <f t="shared" si="8"/>
        <v>0</v>
      </c>
      <c r="P23" s="101"/>
      <c r="Q23" s="101">
        <f t="shared" si="9"/>
        <v>-20.715069370000002</v>
      </c>
      <c r="R23" s="101"/>
      <c r="S23" s="101">
        <f t="shared" si="10"/>
        <v>0</v>
      </c>
      <c r="T23" s="101">
        <f t="shared" si="10"/>
        <v>0.3891721542857143</v>
      </c>
      <c r="U23" s="101">
        <f t="shared" si="10"/>
        <v>-0.3926007257142857</v>
      </c>
      <c r="V23" s="101">
        <f t="shared" si="11"/>
        <v>-0.0034285714285714475</v>
      </c>
      <c r="W23" s="101"/>
      <c r="X23" s="101">
        <v>0</v>
      </c>
      <c r="Y23" s="101">
        <v>0.22701709</v>
      </c>
      <c r="Z23" s="101">
        <f t="shared" si="12"/>
        <v>-0.22901709</v>
      </c>
      <c r="AA23" s="101">
        <f t="shared" si="13"/>
        <v>-0.0020000000000000018</v>
      </c>
      <c r="AB23" s="101"/>
      <c r="AC23" s="101"/>
      <c r="AD23" s="101"/>
      <c r="AE23" s="101"/>
      <c r="AF23" s="101"/>
      <c r="AG23" s="101"/>
      <c r="AH23" s="101">
        <v>0</v>
      </c>
      <c r="AI23" s="101">
        <v>0</v>
      </c>
      <c r="AJ23" s="101">
        <v>0</v>
      </c>
      <c r="AK23" s="101">
        <v>0</v>
      </c>
      <c r="AL23" s="101">
        <f t="shared" si="14"/>
        <v>0</v>
      </c>
      <c r="AN23" s="74">
        <f>-0.084</f>
        <v>-0.084</v>
      </c>
      <c r="AO23" s="74">
        <f>-0.082</f>
        <v>-0.082</v>
      </c>
      <c r="AP23" s="74">
        <f t="shared" si="15"/>
        <v>-0.0020000000000000018</v>
      </c>
    </row>
    <row r="24" spans="3:42" s="74" customFormat="1" ht="45">
      <c r="C24" s="98" t="s">
        <v>75</v>
      </c>
      <c r="D24" s="123" t="s">
        <v>161</v>
      </c>
      <c r="E24" s="108" t="s">
        <v>215</v>
      </c>
      <c r="F24" s="100" t="s">
        <v>252</v>
      </c>
      <c r="G24" s="99">
        <v>0</v>
      </c>
      <c r="H24" s="99"/>
      <c r="I24" s="99">
        <v>9.883</v>
      </c>
      <c r="J24" s="99"/>
      <c r="K24" s="101">
        <v>0</v>
      </c>
      <c r="L24" s="101"/>
      <c r="M24" s="101">
        <v>11.58168</v>
      </c>
      <c r="N24" s="101"/>
      <c r="O24" s="101">
        <f t="shared" si="8"/>
        <v>0</v>
      </c>
      <c r="P24" s="101"/>
      <c r="Q24" s="101">
        <f t="shared" si="9"/>
        <v>1.6986800000000013</v>
      </c>
      <c r="R24" s="101"/>
      <c r="S24" s="101">
        <f t="shared" si="10"/>
        <v>0</v>
      </c>
      <c r="T24" s="101">
        <f t="shared" si="10"/>
        <v>-0.040674857142857165</v>
      </c>
      <c r="U24" s="101">
        <f t="shared" si="10"/>
        <v>1.6606748571428573</v>
      </c>
      <c r="V24" s="101">
        <f t="shared" si="11"/>
        <v>1.62</v>
      </c>
      <c r="W24" s="101"/>
      <c r="X24" s="101">
        <v>0</v>
      </c>
      <c r="Y24" s="101">
        <v>-0.023727000000000012</v>
      </c>
      <c r="Z24" s="101">
        <f t="shared" si="12"/>
        <v>0.9687270000000001</v>
      </c>
      <c r="AA24" s="101">
        <f t="shared" si="13"/>
        <v>0.9450000000000001</v>
      </c>
      <c r="AB24" s="101"/>
      <c r="AC24" s="101"/>
      <c r="AD24" s="101"/>
      <c r="AE24" s="101"/>
      <c r="AF24" s="101"/>
      <c r="AG24" s="101"/>
      <c r="AH24" s="101">
        <v>0</v>
      </c>
      <c r="AI24" s="101">
        <v>0</v>
      </c>
      <c r="AJ24" s="101">
        <v>0</v>
      </c>
      <c r="AK24" s="101">
        <v>0</v>
      </c>
      <c r="AL24" s="101">
        <f t="shared" si="14"/>
        <v>0</v>
      </c>
      <c r="AM24" s="75" t="s">
        <v>216</v>
      </c>
      <c r="AN24" s="74">
        <f>0.765</f>
        <v>0.765</v>
      </c>
      <c r="AO24" s="74">
        <f>-0.18</f>
        <v>-0.18</v>
      </c>
      <c r="AP24" s="74">
        <f t="shared" si="15"/>
        <v>0.9450000000000001</v>
      </c>
    </row>
    <row r="25" spans="3:42" s="74" customFormat="1" ht="30">
      <c r="C25" s="98" t="s">
        <v>76</v>
      </c>
      <c r="D25" s="123" t="s">
        <v>162</v>
      </c>
      <c r="E25" s="123"/>
      <c r="F25" s="100" t="s">
        <v>257</v>
      </c>
      <c r="G25" s="99">
        <v>0</v>
      </c>
      <c r="H25" s="99"/>
      <c r="I25" s="99">
        <v>9.76</v>
      </c>
      <c r="J25" s="99"/>
      <c r="K25" s="101">
        <v>0</v>
      </c>
      <c r="L25" s="101"/>
      <c r="M25" s="101">
        <v>0.22702764</v>
      </c>
      <c r="N25" s="101"/>
      <c r="O25" s="101">
        <f t="shared" si="8"/>
        <v>0</v>
      </c>
      <c r="P25" s="101"/>
      <c r="Q25" s="101">
        <f t="shared" si="9"/>
        <v>-9.53297236</v>
      </c>
      <c r="R25" s="101"/>
      <c r="S25" s="101">
        <f t="shared" si="10"/>
        <v>0</v>
      </c>
      <c r="T25" s="101">
        <f t="shared" si="10"/>
        <v>0</v>
      </c>
      <c r="U25" s="101">
        <f t="shared" si="10"/>
        <v>-2.0228571428571427</v>
      </c>
      <c r="V25" s="101">
        <f t="shared" si="11"/>
        <v>-2.0228571428571427</v>
      </c>
      <c r="W25" s="101"/>
      <c r="X25" s="101">
        <v>0</v>
      </c>
      <c r="Y25" s="101">
        <v>0</v>
      </c>
      <c r="Z25" s="101">
        <f t="shared" si="12"/>
        <v>-1.18</v>
      </c>
      <c r="AA25" s="101">
        <f t="shared" si="13"/>
        <v>-1.18</v>
      </c>
      <c r="AB25" s="101"/>
      <c r="AC25" s="101"/>
      <c r="AD25" s="101"/>
      <c r="AE25" s="101"/>
      <c r="AF25" s="101"/>
      <c r="AG25" s="101"/>
      <c r="AH25" s="101">
        <v>0</v>
      </c>
      <c r="AI25" s="101">
        <v>0</v>
      </c>
      <c r="AJ25" s="101">
        <v>0</v>
      </c>
      <c r="AK25" s="101">
        <v>0</v>
      </c>
      <c r="AL25" s="101">
        <f t="shared" si="14"/>
        <v>0</v>
      </c>
      <c r="AN25" s="74">
        <f>-1.522</f>
        <v>-1.522</v>
      </c>
      <c r="AO25" s="74">
        <f>-0.342</f>
        <v>-0.342</v>
      </c>
      <c r="AP25" s="74">
        <f t="shared" si="15"/>
        <v>-1.18</v>
      </c>
    </row>
    <row r="26" spans="3:42" ht="20.25" customHeight="1">
      <c r="C26" s="109" t="s">
        <v>77</v>
      </c>
      <c r="D26" s="124" t="s">
        <v>161</v>
      </c>
      <c r="E26" s="124"/>
      <c r="F26" s="103"/>
      <c r="G26" s="103">
        <v>0</v>
      </c>
      <c r="H26" s="103"/>
      <c r="I26" s="103">
        <v>13.854</v>
      </c>
      <c r="J26" s="103"/>
      <c r="K26" s="104">
        <v>0</v>
      </c>
      <c r="L26" s="104"/>
      <c r="M26" s="104">
        <v>8.593439290000001</v>
      </c>
      <c r="N26" s="104"/>
      <c r="O26" s="104">
        <f t="shared" si="8"/>
        <v>0</v>
      </c>
      <c r="P26" s="104"/>
      <c r="Q26" s="104">
        <f t="shared" si="9"/>
        <v>-5.260560709999998</v>
      </c>
      <c r="R26" s="104"/>
      <c r="S26" s="104">
        <f t="shared" si="10"/>
        <v>0</v>
      </c>
      <c r="T26" s="104">
        <f t="shared" si="10"/>
        <v>0.3035434285714286</v>
      </c>
      <c r="U26" s="104">
        <f t="shared" si="10"/>
        <v>-5.442971999999999</v>
      </c>
      <c r="V26" s="104">
        <f t="shared" si="11"/>
        <v>-5.139428571428571</v>
      </c>
      <c r="W26" s="104"/>
      <c r="X26" s="104">
        <v>0</v>
      </c>
      <c r="Y26" s="104">
        <v>0.177067</v>
      </c>
      <c r="Z26" s="104">
        <f t="shared" si="12"/>
        <v>-3.175067</v>
      </c>
      <c r="AA26" s="104">
        <f t="shared" si="13"/>
        <v>-2.9979999999999998</v>
      </c>
      <c r="AB26" s="104"/>
      <c r="AC26" s="104"/>
      <c r="AD26" s="104"/>
      <c r="AE26" s="104"/>
      <c r="AF26" s="104"/>
      <c r="AG26" s="104"/>
      <c r="AH26" s="104">
        <v>0</v>
      </c>
      <c r="AI26" s="104">
        <v>0</v>
      </c>
      <c r="AJ26" s="104">
        <v>0</v>
      </c>
      <c r="AK26" s="104">
        <v>0</v>
      </c>
      <c r="AL26" s="104">
        <f t="shared" si="14"/>
        <v>0</v>
      </c>
      <c r="AN26" s="19">
        <f>-2.719</f>
        <v>-2.719</v>
      </c>
      <c r="AO26" s="19">
        <f>0.279</f>
        <v>0.279</v>
      </c>
      <c r="AP26" s="19">
        <f t="shared" si="15"/>
        <v>-2.9979999999999998</v>
      </c>
    </row>
    <row r="27" spans="3:42" s="74" customFormat="1" ht="60">
      <c r="C27" s="78" t="s">
        <v>78</v>
      </c>
      <c r="D27" s="129" t="s">
        <v>162</v>
      </c>
      <c r="E27" s="129"/>
      <c r="F27" s="75" t="s">
        <v>253</v>
      </c>
      <c r="G27" s="76">
        <v>0</v>
      </c>
      <c r="H27" s="76"/>
      <c r="I27" s="76">
        <v>6.596</v>
      </c>
      <c r="J27" s="76"/>
      <c r="K27" s="79">
        <v>0</v>
      </c>
      <c r="L27" s="79"/>
      <c r="M27" s="79">
        <v>4.999998639999999</v>
      </c>
      <c r="N27" s="79"/>
      <c r="O27" s="79">
        <f t="shared" si="8"/>
        <v>0</v>
      </c>
      <c r="P27" s="79"/>
      <c r="Q27" s="79">
        <f t="shared" si="9"/>
        <v>-1.5960013600000007</v>
      </c>
      <c r="R27" s="79"/>
      <c r="S27" s="79">
        <f t="shared" si="10"/>
        <v>0</v>
      </c>
      <c r="T27" s="79">
        <f t="shared" si="10"/>
        <v>2.6421531428571434</v>
      </c>
      <c r="U27" s="79">
        <f t="shared" si="10"/>
        <v>0.8292754285714281</v>
      </c>
      <c r="V27" s="79">
        <f t="shared" si="11"/>
        <v>3.4714285714285715</v>
      </c>
      <c r="W27" s="77"/>
      <c r="X27" s="79">
        <v>0</v>
      </c>
      <c r="Y27" s="79">
        <v>1.5412560000000002</v>
      </c>
      <c r="Z27" s="79">
        <f t="shared" si="12"/>
        <v>0.48374399999999973</v>
      </c>
      <c r="AA27" s="79">
        <f t="shared" si="13"/>
        <v>2.025</v>
      </c>
      <c r="AB27" s="77"/>
      <c r="AC27" s="77"/>
      <c r="AD27" s="77"/>
      <c r="AE27" s="77"/>
      <c r="AF27" s="77"/>
      <c r="AG27" s="77"/>
      <c r="AH27" s="79">
        <v>0</v>
      </c>
      <c r="AI27" s="79">
        <v>0</v>
      </c>
      <c r="AJ27" s="79">
        <v>0</v>
      </c>
      <c r="AK27" s="79">
        <v>0</v>
      </c>
      <c r="AL27" s="79">
        <f t="shared" si="14"/>
        <v>0</v>
      </c>
      <c r="AN27" s="74">
        <f>2.54</f>
        <v>2.54</v>
      </c>
      <c r="AO27" s="74">
        <f>0.515</f>
        <v>0.515</v>
      </c>
      <c r="AP27" s="74">
        <f t="shared" si="15"/>
        <v>2.025</v>
      </c>
    </row>
    <row r="28" spans="3:38" ht="31.5" customHeight="1">
      <c r="C28" s="89" t="s">
        <v>79</v>
      </c>
      <c r="D28" s="125"/>
      <c r="E28" s="125"/>
      <c r="F28" s="36"/>
      <c r="G28" s="58">
        <f>SUM(G21:G27)</f>
        <v>0</v>
      </c>
      <c r="H28" s="58"/>
      <c r="I28" s="58">
        <f>SUM(I20:I27)</f>
        <v>83.67599999999999</v>
      </c>
      <c r="J28" s="59"/>
      <c r="K28" s="47">
        <f>SUM(K21:K27)</f>
        <v>0</v>
      </c>
      <c r="L28" s="47"/>
      <c r="M28" s="47">
        <f>SUM(M20:M27)</f>
        <v>49.6384832</v>
      </c>
      <c r="N28" s="47"/>
      <c r="O28" s="47">
        <f>SUM(O21:O27)</f>
        <v>0</v>
      </c>
      <c r="P28" s="47"/>
      <c r="Q28" s="47">
        <f>SUM(Q20:Q27)</f>
        <v>-34.037516800000006</v>
      </c>
      <c r="R28" s="47"/>
      <c r="S28" s="47">
        <f>SUM(S20:S27)</f>
        <v>0</v>
      </c>
      <c r="T28" s="47">
        <f>SUM(T20:T27)</f>
        <v>3.4434635828571434</v>
      </c>
      <c r="U28" s="47">
        <f>SUM(U20:U27)</f>
        <v>-1.6828921542857134</v>
      </c>
      <c r="V28" s="47">
        <f>SUM(V20:V27)</f>
        <v>1.76057142857143</v>
      </c>
      <c r="W28" s="45"/>
      <c r="X28" s="47">
        <f>SUM(X20:X27)</f>
        <v>0</v>
      </c>
      <c r="Y28" s="47">
        <f>SUM(Y20:Y27)</f>
        <v>2.0086870900000005</v>
      </c>
      <c r="Z28" s="47">
        <f>SUM(Z20:Z27)</f>
        <v>-0.9816870899999997</v>
      </c>
      <c r="AA28" s="47">
        <f>SUM(AA20:AA27)</f>
        <v>1.027000000000001</v>
      </c>
      <c r="AB28" s="45"/>
      <c r="AC28" s="45"/>
      <c r="AD28" s="45"/>
      <c r="AE28" s="45"/>
      <c r="AF28" s="45"/>
      <c r="AG28" s="45"/>
      <c r="AH28" s="45">
        <f>SUM(AH20:AH27)</f>
        <v>0</v>
      </c>
      <c r="AI28" s="45">
        <f>SUM(AI20:AI27)</f>
        <v>0</v>
      </c>
      <c r="AJ28" s="45">
        <f>SUM(AJ20:AJ27)</f>
        <v>0</v>
      </c>
      <c r="AK28" s="45">
        <f>SUM(AK20:AK27)</f>
        <v>0</v>
      </c>
      <c r="AL28" s="45">
        <f>SUM(AL20:AL27)</f>
        <v>0</v>
      </c>
    </row>
    <row r="29" spans="1:38" ht="15">
      <c r="A29" s="33" t="s">
        <v>80</v>
      </c>
      <c r="D29" s="120"/>
      <c r="E29" s="120"/>
      <c r="F29" s="28"/>
      <c r="G29" s="28"/>
      <c r="H29" s="28"/>
      <c r="I29" s="28"/>
      <c r="J29" s="28"/>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row>
    <row r="30" spans="3:42" ht="60">
      <c r="C30" s="110" t="s">
        <v>81</v>
      </c>
      <c r="D30" s="128" t="s">
        <v>159</v>
      </c>
      <c r="E30" s="128"/>
      <c r="F30" s="112" t="s">
        <v>260</v>
      </c>
      <c r="G30" s="111">
        <v>60.907</v>
      </c>
      <c r="H30" s="111"/>
      <c r="I30" s="111">
        <v>5.203</v>
      </c>
      <c r="J30" s="111"/>
      <c r="K30" s="113">
        <v>8.987575999999999</v>
      </c>
      <c r="L30" s="113"/>
      <c r="M30" s="113">
        <v>0.52889611</v>
      </c>
      <c r="N30" s="113"/>
      <c r="O30" s="113">
        <f>K30-G30</f>
        <v>-51.919424</v>
      </c>
      <c r="P30" s="113"/>
      <c r="Q30" s="113">
        <f>M30-I30</f>
        <v>-4.6741038900000005</v>
      </c>
      <c r="R30" s="113"/>
      <c r="S30" s="113">
        <f aca="true" t="shared" si="16" ref="S30:U33">(X30/7)*12</f>
        <v>0.3735456857142857</v>
      </c>
      <c r="T30" s="113">
        <f t="shared" si="16"/>
        <v>0.07024407428571428</v>
      </c>
      <c r="U30" s="113">
        <f t="shared" si="16"/>
        <v>-0.6169326171428572</v>
      </c>
      <c r="V30" s="113">
        <f>S30+T30+U30</f>
        <v>-0.1731428571428572</v>
      </c>
      <c r="W30" s="113"/>
      <c r="X30" s="113">
        <v>0.21790165</v>
      </c>
      <c r="Y30" s="113">
        <v>0.04097571</v>
      </c>
      <c r="Z30" s="113">
        <f>AP30-Y30-X30</f>
        <v>-0.35987736000000004</v>
      </c>
      <c r="AA30" s="113">
        <f>X30+Y30+Z30</f>
        <v>-0.10100000000000003</v>
      </c>
      <c r="AB30" s="113"/>
      <c r="AC30" s="113"/>
      <c r="AD30" s="113"/>
      <c r="AE30" s="113"/>
      <c r="AF30" s="113"/>
      <c r="AG30" s="113"/>
      <c r="AH30" s="113">
        <v>1.13E-06</v>
      </c>
      <c r="AI30" s="113">
        <v>0</v>
      </c>
      <c r="AJ30" s="113">
        <v>0.38986611000000004</v>
      </c>
      <c r="AK30" s="113">
        <f>0.076+0.206-0.011-0.008</f>
        <v>0.26299999999999996</v>
      </c>
      <c r="AL30" s="113">
        <f>SUM(AH30:AK30)</f>
        <v>0.65286724</v>
      </c>
      <c r="AN30" s="19">
        <f>-0.252</f>
        <v>-0.252</v>
      </c>
      <c r="AO30" s="19">
        <f>-0.151</f>
        <v>-0.151</v>
      </c>
      <c r="AP30" s="19">
        <f>AN30-AO30</f>
        <v>-0.101</v>
      </c>
    </row>
    <row r="31" spans="3:42" s="74" customFormat="1" ht="90">
      <c r="C31" s="98" t="s">
        <v>201</v>
      </c>
      <c r="D31" s="123" t="s">
        <v>159</v>
      </c>
      <c r="E31" s="123"/>
      <c r="F31" s="100" t="s">
        <v>259</v>
      </c>
      <c r="G31" s="99">
        <v>281.56</v>
      </c>
      <c r="H31" s="99"/>
      <c r="I31" s="99">
        <v>0.0047</v>
      </c>
      <c r="J31" s="99"/>
      <c r="K31" s="101">
        <v>193.281243</v>
      </c>
      <c r="L31" s="101"/>
      <c r="M31" s="101">
        <v>0.04668029</v>
      </c>
      <c r="N31" s="101"/>
      <c r="O31" s="101">
        <f>K31-G31</f>
        <v>-88.27875700000001</v>
      </c>
      <c r="P31" s="101"/>
      <c r="Q31" s="101">
        <f>M31-I31</f>
        <v>0.041980289999999996</v>
      </c>
      <c r="R31" s="101"/>
      <c r="S31" s="101">
        <f t="shared" si="16"/>
        <v>2.9000622857142857</v>
      </c>
      <c r="T31" s="101">
        <f t="shared" si="16"/>
        <v>0</v>
      </c>
      <c r="U31" s="101">
        <f t="shared" si="16"/>
        <v>-1.4600622857142858</v>
      </c>
      <c r="V31" s="101">
        <f>S31+T31+U31</f>
        <v>1.44</v>
      </c>
      <c r="W31" s="101"/>
      <c r="X31" s="101">
        <v>1.691703</v>
      </c>
      <c r="Y31" s="101">
        <v>0</v>
      </c>
      <c r="Z31" s="101">
        <f>AP31-Y31-X31</f>
        <v>-0.851703</v>
      </c>
      <c r="AA31" s="101">
        <f>X31+Y31+Z31</f>
        <v>0.84</v>
      </c>
      <c r="AB31" s="101"/>
      <c r="AC31" s="101"/>
      <c r="AD31" s="101"/>
      <c r="AE31" s="101"/>
      <c r="AF31" s="101"/>
      <c r="AG31" s="101"/>
      <c r="AH31" s="101">
        <v>0.62299779</v>
      </c>
      <c r="AI31" s="101">
        <v>0</v>
      </c>
      <c r="AJ31" s="101">
        <v>2.48446105</v>
      </c>
      <c r="AK31" s="101">
        <f>0.457+1.289-0.065-0.051</f>
        <v>1.6300000000000001</v>
      </c>
      <c r="AL31" s="101">
        <f>SUM(AH31:AK31)</f>
        <v>4.73745884</v>
      </c>
      <c r="AN31" s="74">
        <f>0.957</f>
        <v>0.957</v>
      </c>
      <c r="AO31" s="74">
        <v>0.117</v>
      </c>
      <c r="AP31" s="74">
        <f>AN31-AO31</f>
        <v>0.84</v>
      </c>
    </row>
    <row r="32" spans="3:42" s="74" customFormat="1" ht="60">
      <c r="C32" s="98" t="s">
        <v>82</v>
      </c>
      <c r="D32" s="123" t="s">
        <v>159</v>
      </c>
      <c r="E32" s="123"/>
      <c r="F32" s="100" t="s">
        <v>258</v>
      </c>
      <c r="G32" s="99">
        <v>0</v>
      </c>
      <c r="H32" s="99"/>
      <c r="I32" s="99">
        <v>115</v>
      </c>
      <c r="J32" s="99"/>
      <c r="K32" s="101">
        <v>0</v>
      </c>
      <c r="L32" s="101"/>
      <c r="M32" s="101">
        <v>0.02463566</v>
      </c>
      <c r="N32" s="101"/>
      <c r="O32" s="101">
        <f>K32-G32</f>
        <v>0</v>
      </c>
      <c r="P32" s="101"/>
      <c r="Q32" s="101">
        <f>M32-I32</f>
        <v>-114.97536434</v>
      </c>
      <c r="R32" s="101"/>
      <c r="S32" s="101">
        <f t="shared" si="16"/>
        <v>0</v>
      </c>
      <c r="T32" s="101">
        <f t="shared" si="16"/>
        <v>0</v>
      </c>
      <c r="U32" s="101">
        <f t="shared" si="16"/>
        <v>-0.156</v>
      </c>
      <c r="V32" s="101">
        <f>S32+T32+U32</f>
        <v>-0.156</v>
      </c>
      <c r="W32" s="101"/>
      <c r="X32" s="101">
        <v>0</v>
      </c>
      <c r="Y32" s="101">
        <v>0</v>
      </c>
      <c r="Z32" s="101">
        <f>AP32-Y32-X32</f>
        <v>-0.091</v>
      </c>
      <c r="AA32" s="101">
        <f>X32+Y32+Z32</f>
        <v>-0.091</v>
      </c>
      <c r="AB32" s="101"/>
      <c r="AC32" s="101"/>
      <c r="AD32" s="101"/>
      <c r="AE32" s="101"/>
      <c r="AF32" s="101"/>
      <c r="AG32" s="101"/>
      <c r="AH32" s="101">
        <v>0</v>
      </c>
      <c r="AI32" s="101">
        <v>0</v>
      </c>
      <c r="AJ32" s="101">
        <v>0.018476069999999997</v>
      </c>
      <c r="AK32" s="101">
        <v>0</v>
      </c>
      <c r="AL32" s="101">
        <f>SUM(AH32:AK32)</f>
        <v>0.018476069999999997</v>
      </c>
      <c r="AN32" s="74">
        <f>-0.091</f>
        <v>-0.091</v>
      </c>
      <c r="AO32" s="74">
        <v>0</v>
      </c>
      <c r="AP32" s="74">
        <f>AN32-AO32</f>
        <v>-0.091</v>
      </c>
    </row>
    <row r="33" spans="3:42" s="74" customFormat="1" ht="45">
      <c r="C33" s="78" t="s">
        <v>83</v>
      </c>
      <c r="D33" s="129" t="s">
        <v>159</v>
      </c>
      <c r="E33" s="129"/>
      <c r="F33" s="75" t="s">
        <v>275</v>
      </c>
      <c r="G33" s="76">
        <v>16.926</v>
      </c>
      <c r="H33" s="76"/>
      <c r="I33" s="76">
        <v>16.926</v>
      </c>
      <c r="J33" s="76"/>
      <c r="K33" s="86">
        <v>0</v>
      </c>
      <c r="L33" s="86"/>
      <c r="M33" s="86">
        <v>0</v>
      </c>
      <c r="N33" s="86"/>
      <c r="O33" s="77">
        <f>K33-G33</f>
        <v>-16.926</v>
      </c>
      <c r="P33" s="77"/>
      <c r="Q33" s="77">
        <f>M33-I33</f>
        <v>-16.926</v>
      </c>
      <c r="R33" s="79"/>
      <c r="S33" s="79">
        <f t="shared" si="16"/>
        <v>0</v>
      </c>
      <c r="T33" s="79">
        <f t="shared" si="16"/>
        <v>0</v>
      </c>
      <c r="U33" s="79">
        <f t="shared" si="16"/>
        <v>-0.7302857142857144</v>
      </c>
      <c r="V33" s="79">
        <f>S33+T33+U33</f>
        <v>-0.7302857142857144</v>
      </c>
      <c r="W33" s="77"/>
      <c r="X33" s="79">
        <v>0</v>
      </c>
      <c r="Y33" s="79">
        <v>0</v>
      </c>
      <c r="Z33" s="79">
        <f>AP33-Y33-X33</f>
        <v>-0.42600000000000005</v>
      </c>
      <c r="AA33" s="79">
        <f>X33+Y33+Z33</f>
        <v>-0.42600000000000005</v>
      </c>
      <c r="AB33" s="77"/>
      <c r="AC33" s="77"/>
      <c r="AD33" s="77"/>
      <c r="AE33" s="77"/>
      <c r="AF33" s="77"/>
      <c r="AG33" s="77"/>
      <c r="AH33" s="79">
        <v>0.09663905</v>
      </c>
      <c r="AI33" s="79">
        <v>0</v>
      </c>
      <c r="AJ33" s="79">
        <v>0.6208984200000001</v>
      </c>
      <c r="AK33" s="79">
        <f>0.229+0.619-0.032-0.025</f>
        <v>0.7909999999999999</v>
      </c>
      <c r="AL33" s="79">
        <f>SUM(AH33:AK33)</f>
        <v>1.50853747</v>
      </c>
      <c r="AN33" s="74">
        <f>-0.78</f>
        <v>-0.78</v>
      </c>
      <c r="AO33" s="74">
        <f>-0.354</f>
        <v>-0.354</v>
      </c>
      <c r="AP33" s="74">
        <f>AN33-AO33</f>
        <v>-0.42600000000000005</v>
      </c>
    </row>
    <row r="34" spans="3:38" ht="35.25" customHeight="1">
      <c r="C34" s="89" t="s">
        <v>84</v>
      </c>
      <c r="D34" s="125"/>
      <c r="E34" s="125"/>
      <c r="F34" s="36"/>
      <c r="G34" s="58">
        <f>SUM(G30:G33)</f>
        <v>359.393</v>
      </c>
      <c r="H34" s="58"/>
      <c r="I34" s="58">
        <f>SUM(I30:I33)</f>
        <v>137.1337</v>
      </c>
      <c r="J34" s="59"/>
      <c r="K34" s="58">
        <f>SUM(K30:K33)</f>
        <v>202.26881899999998</v>
      </c>
      <c r="L34" s="58"/>
      <c r="M34" s="58">
        <f>SUM(M30:M33)</f>
        <v>0.6002120599999999</v>
      </c>
      <c r="N34" s="58"/>
      <c r="O34" s="58">
        <f>SUM(O30:O33)</f>
        <v>-157.124181</v>
      </c>
      <c r="P34" s="58"/>
      <c r="Q34" s="58">
        <f>SUM(Q30:Q33)</f>
        <v>-136.53348794</v>
      </c>
      <c r="R34" s="47"/>
      <c r="S34" s="47">
        <f>SUM(S30:S33)</f>
        <v>3.2736079714285715</v>
      </c>
      <c r="T34" s="47">
        <f>SUM(T30:T33)</f>
        <v>0.07024407428571428</v>
      </c>
      <c r="U34" s="47">
        <f>SUM(U30:U33)</f>
        <v>-2.9632806171428574</v>
      </c>
      <c r="V34" s="47">
        <f>SUM(V30:V33)</f>
        <v>0.38057142857142834</v>
      </c>
      <c r="W34" s="45"/>
      <c r="X34" s="47">
        <f>SUM(X30:X33)</f>
        <v>1.90960465</v>
      </c>
      <c r="Y34" s="47">
        <f>SUM(Y30:Y33)</f>
        <v>0.04097571</v>
      </c>
      <c r="Z34" s="47">
        <f>SUM(Z30:Z33)</f>
        <v>-1.72858036</v>
      </c>
      <c r="AA34" s="47">
        <f>SUM(AA30:AA33)</f>
        <v>0.22199999999999986</v>
      </c>
      <c r="AB34" s="45"/>
      <c r="AC34" s="45"/>
      <c r="AD34" s="45"/>
      <c r="AE34" s="45"/>
      <c r="AF34" s="45"/>
      <c r="AG34" s="45"/>
      <c r="AH34" s="47">
        <f>SUM(AH30:AH33)</f>
        <v>0.71963797</v>
      </c>
      <c r="AI34" s="47">
        <f>SUM(AI30:AI33)</f>
        <v>0</v>
      </c>
      <c r="AJ34" s="47">
        <f>SUM(AJ30:AJ33)</f>
        <v>3.5137016500000002</v>
      </c>
      <c r="AK34" s="47">
        <f>SUM(AK30:AK33)</f>
        <v>2.684</v>
      </c>
      <c r="AL34" s="47">
        <f>SUM(AL30:AL33)</f>
        <v>6.917339620000001</v>
      </c>
    </row>
    <row r="35" spans="1:38" ht="24.75" customHeight="1">
      <c r="A35" s="33" t="s">
        <v>85</v>
      </c>
      <c r="D35" s="120"/>
      <c r="E35" s="120"/>
      <c r="F35" s="28"/>
      <c r="G35" s="28"/>
      <c r="H35" s="28"/>
      <c r="I35" s="28"/>
      <c r="J35" s="28"/>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row>
    <row r="36" spans="3:42" s="74" customFormat="1" ht="90">
      <c r="C36" s="78" t="s">
        <v>265</v>
      </c>
      <c r="D36" s="129" t="s">
        <v>159</v>
      </c>
      <c r="E36" s="129"/>
      <c r="F36" s="75" t="s">
        <v>33</v>
      </c>
      <c r="G36" s="76">
        <v>0</v>
      </c>
      <c r="H36" s="76"/>
      <c r="I36" s="76">
        <v>2.826</v>
      </c>
      <c r="J36" s="80"/>
      <c r="K36" s="79">
        <v>0</v>
      </c>
      <c r="L36" s="79"/>
      <c r="M36" s="79">
        <v>2.49752097</v>
      </c>
      <c r="N36" s="79"/>
      <c r="O36" s="79">
        <f>K36-G36</f>
        <v>0</v>
      </c>
      <c r="P36" s="79"/>
      <c r="Q36" s="79">
        <f>M36-I36</f>
        <v>-0.32847903</v>
      </c>
      <c r="R36" s="79"/>
      <c r="S36" s="79">
        <f>(X36/7)*12</f>
        <v>0</v>
      </c>
      <c r="T36" s="79">
        <f>(Y36/7)*12</f>
        <v>0</v>
      </c>
      <c r="U36" s="79">
        <f>(Z36/7)*12</f>
        <v>-1.1125714285714285</v>
      </c>
      <c r="V36" s="79">
        <f>S36+T36+U36</f>
        <v>-1.1125714285714285</v>
      </c>
      <c r="W36" s="77"/>
      <c r="X36" s="79">
        <v>0</v>
      </c>
      <c r="Y36" s="79">
        <v>0</v>
      </c>
      <c r="Z36" s="79">
        <f>AP36-Y36-X36</f>
        <v>-0.649</v>
      </c>
      <c r="AA36" s="79">
        <f>X36+Y36+Z36</f>
        <v>-0.649</v>
      </c>
      <c r="AB36" s="77"/>
      <c r="AC36" s="77"/>
      <c r="AD36" s="77"/>
      <c r="AE36" s="77"/>
      <c r="AF36" s="77"/>
      <c r="AG36" s="77"/>
      <c r="AH36" s="79">
        <v>0</v>
      </c>
      <c r="AI36" s="79">
        <v>0</v>
      </c>
      <c r="AJ36" s="79">
        <v>0</v>
      </c>
      <c r="AK36" s="79">
        <v>0</v>
      </c>
      <c r="AL36" s="79">
        <f>SUM(AH36:AK36)</f>
        <v>0</v>
      </c>
      <c r="AN36" s="74">
        <f>-0.728</f>
        <v>-0.728</v>
      </c>
      <c r="AO36" s="74">
        <f>-0.079</f>
        <v>-0.079</v>
      </c>
      <c r="AP36" s="74">
        <f>AN36-AO36</f>
        <v>-0.649</v>
      </c>
    </row>
    <row r="37" spans="3:38" ht="30" customHeight="1">
      <c r="C37" s="89" t="s">
        <v>87</v>
      </c>
      <c r="D37" s="125"/>
      <c r="E37" s="125"/>
      <c r="F37" s="36"/>
      <c r="G37" s="59">
        <f>G36</f>
        <v>0</v>
      </c>
      <c r="H37" s="59"/>
      <c r="I37" s="59">
        <f>I36</f>
        <v>2.826</v>
      </c>
      <c r="J37" s="36"/>
      <c r="K37" s="47">
        <f>SUM(K36)</f>
        <v>0</v>
      </c>
      <c r="L37" s="47"/>
      <c r="M37" s="47">
        <f>SUM(M36)</f>
        <v>2.49752097</v>
      </c>
      <c r="N37" s="47"/>
      <c r="O37" s="47">
        <f>O36</f>
        <v>0</v>
      </c>
      <c r="P37" s="47"/>
      <c r="Q37" s="47">
        <f>Q36</f>
        <v>-0.32847903</v>
      </c>
      <c r="R37" s="47"/>
      <c r="S37" s="47">
        <f>SUM(S36)</f>
        <v>0</v>
      </c>
      <c r="T37" s="47">
        <f>SUM(T36)</f>
        <v>0</v>
      </c>
      <c r="U37" s="47">
        <f>SUM(U36)</f>
        <v>-1.1125714285714285</v>
      </c>
      <c r="V37" s="47">
        <f>SUM(V36)</f>
        <v>-1.1125714285714285</v>
      </c>
      <c r="W37" s="45"/>
      <c r="X37" s="47">
        <f>SUM(X36)</f>
        <v>0</v>
      </c>
      <c r="Y37" s="47">
        <f>SUM(Y36)</f>
        <v>0</v>
      </c>
      <c r="Z37" s="47">
        <f>SUM(Z36)</f>
        <v>-0.649</v>
      </c>
      <c r="AA37" s="47">
        <f>SUM(AA36)</f>
        <v>-0.649</v>
      </c>
      <c r="AB37" s="45"/>
      <c r="AC37" s="45"/>
      <c r="AD37" s="45"/>
      <c r="AE37" s="45"/>
      <c r="AF37" s="45"/>
      <c r="AG37" s="45"/>
      <c r="AH37" s="45">
        <f>SUM(AH36)</f>
        <v>0</v>
      </c>
      <c r="AI37" s="45">
        <f>SUM(AI36)</f>
        <v>0</v>
      </c>
      <c r="AJ37" s="45">
        <f>SUM(AJ36)</f>
        <v>0</v>
      </c>
      <c r="AK37" s="45">
        <f>SUM(AK36)</f>
        <v>0</v>
      </c>
      <c r="AL37" s="45">
        <f>SUM(AH37:AK37)</f>
        <v>0</v>
      </c>
    </row>
    <row r="38" spans="4:38" ht="6.75" customHeight="1" hidden="1">
      <c r="D38" s="120"/>
      <c r="E38" s="120"/>
      <c r="F38" s="28"/>
      <c r="G38" s="61"/>
      <c r="H38" s="61"/>
      <c r="I38" s="61"/>
      <c r="J38" s="61"/>
      <c r="K38" s="46"/>
      <c r="L38" s="46"/>
      <c r="M38" s="46"/>
      <c r="N38" s="46"/>
      <c r="O38" s="46"/>
      <c r="P38" s="46"/>
      <c r="Q38" s="46"/>
      <c r="R38" s="46"/>
      <c r="S38" s="46"/>
      <c r="T38" s="46"/>
      <c r="U38" s="46"/>
      <c r="V38" s="46"/>
      <c r="W38" s="45"/>
      <c r="X38" s="46"/>
      <c r="Y38" s="46"/>
      <c r="Z38" s="46"/>
      <c r="AA38" s="46"/>
      <c r="AB38" s="45"/>
      <c r="AC38" s="45"/>
      <c r="AD38" s="45"/>
      <c r="AE38" s="45"/>
      <c r="AF38" s="45"/>
      <c r="AG38" s="45"/>
      <c r="AH38" s="46"/>
      <c r="AI38" s="46"/>
      <c r="AJ38" s="46"/>
      <c r="AK38" s="46"/>
      <c r="AL38" s="46"/>
    </row>
    <row r="39" spans="3:38" ht="31.5" customHeight="1" thickBot="1">
      <c r="C39" s="90" t="s">
        <v>88</v>
      </c>
      <c r="D39" s="120"/>
      <c r="E39" s="120"/>
      <c r="F39" s="28"/>
      <c r="G39" s="48">
        <f>G37+G34+G28+G19</f>
        <v>3751.6380000000004</v>
      </c>
      <c r="H39" s="28"/>
      <c r="I39" s="48">
        <f>I37+I34+I28+I19</f>
        <v>368.6337</v>
      </c>
      <c r="J39" s="28"/>
      <c r="K39" s="115">
        <f>K37+K34+K28+K19</f>
        <v>1901.9191069999997</v>
      </c>
      <c r="L39" s="115"/>
      <c r="M39" s="115">
        <f>M37+M34+M28+M19</f>
        <v>169.80329724999999</v>
      </c>
      <c r="N39" s="115"/>
      <c r="O39" s="115">
        <f>O37+O34+O28+O19</f>
        <v>-1849.718893</v>
      </c>
      <c r="P39" s="115"/>
      <c r="Q39" s="115">
        <f>Q37+Q34+Q28+Q19</f>
        <v>-198.83040275000002</v>
      </c>
      <c r="R39" s="115"/>
      <c r="S39" s="115">
        <f>S37+S34+S28+S19</f>
        <v>45.68484090857143</v>
      </c>
      <c r="T39" s="115">
        <f>T37+T34+T28+T19</f>
        <v>4.288948028571427</v>
      </c>
      <c r="U39" s="115">
        <f>U37+U34+U28+U19</f>
        <v>-24.970931794285708</v>
      </c>
      <c r="V39" s="115">
        <f>V37+V34+V28+V19</f>
        <v>25.00285714285715</v>
      </c>
      <c r="W39" s="116"/>
      <c r="X39" s="115">
        <f>X37+X34+X28+X19</f>
        <v>26.649490529999998</v>
      </c>
      <c r="Y39" s="115">
        <f>Y37+Y34+Y28+Y19</f>
        <v>2.5018863499999995</v>
      </c>
      <c r="Z39" s="115">
        <f>Z37+Z34+Z28+Z19</f>
        <v>-14.566376879999996</v>
      </c>
      <c r="AA39" s="115">
        <f>AA37+AA34+AA28+AA19</f>
        <v>14.585000000000003</v>
      </c>
      <c r="AB39" s="116"/>
      <c r="AC39" s="116"/>
      <c r="AD39" s="116"/>
      <c r="AE39" s="116"/>
      <c r="AF39" s="116"/>
      <c r="AG39" s="116"/>
      <c r="AH39" s="115">
        <f>AH37+AH34+AH28+AH19</f>
        <v>5.41877013</v>
      </c>
      <c r="AI39" s="115">
        <f>AI37+AI34+AI28+AI19</f>
        <v>0</v>
      </c>
      <c r="AJ39" s="115">
        <f>AJ37+AJ34+AJ28+AJ19</f>
        <v>14.934934389999999</v>
      </c>
      <c r="AK39" s="115">
        <f>AK37+AK34+AK28+AK19</f>
        <v>18.019000000000002</v>
      </c>
      <c r="AL39" s="115">
        <f>AL37+AL34+AL28+AL19</f>
        <v>38.37270452</v>
      </c>
    </row>
    <row r="40" spans="3:38" ht="15.75" thickTop="1">
      <c r="C40" s="90"/>
      <c r="D40" s="120"/>
      <c r="E40" s="120"/>
      <c r="F40" s="28"/>
      <c r="G40" s="28"/>
      <c r="H40" s="28"/>
      <c r="I40" s="28"/>
      <c r="J40" s="28"/>
      <c r="K40" s="48"/>
      <c r="L40" s="48"/>
      <c r="M40" s="48"/>
      <c r="N40" s="48"/>
      <c r="O40" s="48"/>
      <c r="P40" s="48"/>
      <c r="Q40" s="48"/>
      <c r="R40" s="48"/>
      <c r="S40" s="48"/>
      <c r="T40" s="48"/>
      <c r="U40" s="48"/>
      <c r="V40" s="48"/>
      <c r="W40" s="45"/>
      <c r="X40" s="48"/>
      <c r="Y40" s="48"/>
      <c r="Z40" s="48"/>
      <c r="AA40" s="48"/>
      <c r="AB40" s="45"/>
      <c r="AC40" s="45"/>
      <c r="AD40" s="45"/>
      <c r="AE40" s="45"/>
      <c r="AF40" s="45"/>
      <c r="AG40" s="45"/>
      <c r="AH40" s="48"/>
      <c r="AI40" s="48"/>
      <c r="AJ40" s="48"/>
      <c r="AK40" s="48"/>
      <c r="AL40" s="48"/>
    </row>
    <row r="41" spans="3:38" ht="15">
      <c r="C41" s="283" t="s">
        <v>202</v>
      </c>
      <c r="D41" s="285"/>
      <c r="E41" s="285"/>
      <c r="F41" s="28"/>
      <c r="G41" s="28"/>
      <c r="H41" s="28"/>
      <c r="I41" s="28"/>
      <c r="J41" s="28"/>
      <c r="K41" s="48"/>
      <c r="L41" s="48"/>
      <c r="M41" s="48"/>
      <c r="N41" s="48"/>
      <c r="O41" s="48"/>
      <c r="P41" s="48"/>
      <c r="Q41" s="48"/>
      <c r="R41" s="48"/>
      <c r="S41" s="48"/>
      <c r="T41" s="48"/>
      <c r="U41" s="48"/>
      <c r="V41" s="48"/>
      <c r="W41" s="45"/>
      <c r="X41" s="48"/>
      <c r="Y41" s="48"/>
      <c r="Z41" s="48"/>
      <c r="AA41" s="48"/>
      <c r="AB41" s="45"/>
      <c r="AC41" s="45"/>
      <c r="AD41" s="45"/>
      <c r="AE41" s="45"/>
      <c r="AF41" s="45"/>
      <c r="AG41" s="45"/>
      <c r="AH41" s="48"/>
      <c r="AI41" s="48"/>
      <c r="AJ41" s="48"/>
      <c r="AK41" s="48"/>
      <c r="AL41" s="48"/>
    </row>
    <row r="42" spans="4:38" ht="3.75" customHeight="1">
      <c r="D42" s="120"/>
      <c r="E42" s="120"/>
      <c r="F42" s="28"/>
      <c r="G42" s="28"/>
      <c r="H42" s="28"/>
      <c r="I42" s="28"/>
      <c r="J42" s="28"/>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row>
    <row r="43" spans="1:38" ht="24.75" customHeight="1">
      <c r="A43" s="130" t="s">
        <v>89</v>
      </c>
      <c r="C43" s="88"/>
      <c r="D43" s="121"/>
      <c r="E43" s="121"/>
      <c r="F43" s="32"/>
      <c r="G43" s="32"/>
      <c r="H43" s="32"/>
      <c r="I43" s="32"/>
      <c r="J43" s="32"/>
      <c r="K43" s="49"/>
      <c r="L43" s="49"/>
      <c r="M43" s="49"/>
      <c r="N43" s="49"/>
      <c r="O43" s="49"/>
      <c r="P43" s="49"/>
      <c r="Q43" s="49"/>
      <c r="R43" s="49"/>
      <c r="S43" s="49"/>
      <c r="T43" s="49"/>
      <c r="U43" s="49"/>
      <c r="V43" s="49"/>
      <c r="W43" s="50"/>
      <c r="X43" s="49"/>
      <c r="Y43" s="49"/>
      <c r="Z43" s="49"/>
      <c r="AA43" s="49"/>
      <c r="AB43" s="49"/>
      <c r="AC43" s="49"/>
      <c r="AD43" s="49"/>
      <c r="AE43" s="49"/>
      <c r="AF43" s="49"/>
      <c r="AG43" s="49"/>
      <c r="AH43" s="49"/>
      <c r="AI43" s="49"/>
      <c r="AJ43" s="49"/>
      <c r="AK43" s="49"/>
      <c r="AL43" s="49"/>
    </row>
    <row r="44" spans="1:38" ht="15">
      <c r="A44" s="33" t="s">
        <v>90</v>
      </c>
      <c r="D44" s="120"/>
      <c r="E44" s="120"/>
      <c r="F44" s="28"/>
      <c r="G44" s="28"/>
      <c r="H44" s="28"/>
      <c r="I44" s="28"/>
      <c r="J44" s="28"/>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row>
    <row r="45" spans="3:42" s="74" customFormat="1" ht="75">
      <c r="C45" s="94" t="s">
        <v>263</v>
      </c>
      <c r="D45" s="122" t="s">
        <v>194</v>
      </c>
      <c r="E45" s="122"/>
      <c r="F45" s="96" t="s">
        <v>261</v>
      </c>
      <c r="G45" s="95">
        <v>327.718</v>
      </c>
      <c r="H45" s="95"/>
      <c r="I45" s="95">
        <v>12.498</v>
      </c>
      <c r="J45" s="95"/>
      <c r="K45" s="97">
        <v>273.61360235</v>
      </c>
      <c r="L45" s="97"/>
      <c r="M45" s="97">
        <v>10.196371059999999</v>
      </c>
      <c r="N45" s="97"/>
      <c r="O45" s="97">
        <f>K45-G45</f>
        <v>-54.10439765000001</v>
      </c>
      <c r="P45" s="97"/>
      <c r="Q45" s="97">
        <f>M45-I45</f>
        <v>-2.3016289400000005</v>
      </c>
      <c r="R45" s="97"/>
      <c r="S45" s="97">
        <f aca="true" t="shared" si="17" ref="S45:U48">(X45/7)*12</f>
        <v>1.7966351142857144</v>
      </c>
      <c r="T45" s="97">
        <f t="shared" si="17"/>
        <v>2.060125508571428</v>
      </c>
      <c r="U45" s="97">
        <f t="shared" si="17"/>
        <v>-0.469332051428571</v>
      </c>
      <c r="V45" s="97">
        <f>S45+T45+U45</f>
        <v>3.3874285714285715</v>
      </c>
      <c r="W45" s="97"/>
      <c r="X45" s="97">
        <v>1.04803715</v>
      </c>
      <c r="Y45" s="97">
        <v>1.2017398799999996</v>
      </c>
      <c r="Z45" s="97">
        <f>AP45-Y45-X45</f>
        <v>-0.27377702999999975</v>
      </c>
      <c r="AA45" s="97">
        <f>X45+Y45+Z45</f>
        <v>1.976</v>
      </c>
      <c r="AB45" s="97"/>
      <c r="AC45" s="97"/>
      <c r="AD45" s="97"/>
      <c r="AE45" s="97"/>
      <c r="AF45" s="97"/>
      <c r="AG45" s="97"/>
      <c r="AH45" s="97">
        <v>0.50861166</v>
      </c>
      <c r="AI45" s="97">
        <v>0</v>
      </c>
      <c r="AJ45" s="97">
        <v>0.47747210999999995</v>
      </c>
      <c r="AK45" s="97">
        <f>1.012-0.034</f>
        <v>0.978</v>
      </c>
      <c r="AL45" s="97">
        <f>SUM(AH45:AK45)</f>
        <v>1.96408377</v>
      </c>
      <c r="AN45" s="74">
        <f>4.343</f>
        <v>4.343</v>
      </c>
      <c r="AO45" s="74">
        <v>2.367</v>
      </c>
      <c r="AP45" s="74">
        <f>AN45-AO45</f>
        <v>1.976</v>
      </c>
    </row>
    <row r="46" spans="3:42" s="74" customFormat="1" ht="75">
      <c r="C46" s="98" t="s">
        <v>262</v>
      </c>
      <c r="D46" s="123" t="s">
        <v>194</v>
      </c>
      <c r="E46" s="123"/>
      <c r="F46" s="100" t="s">
        <v>264</v>
      </c>
      <c r="G46" s="99">
        <v>125.133</v>
      </c>
      <c r="H46" s="99"/>
      <c r="I46" s="99">
        <v>15.494</v>
      </c>
      <c r="J46" s="99"/>
      <c r="K46" s="101">
        <v>118.62643</v>
      </c>
      <c r="L46" s="101"/>
      <c r="M46" s="101">
        <v>13.662872</v>
      </c>
      <c r="N46" s="101"/>
      <c r="O46" s="101">
        <f>K46-G46</f>
        <v>-6.506569999999996</v>
      </c>
      <c r="P46" s="101"/>
      <c r="Q46" s="101">
        <f>M46-I46</f>
        <v>-1.8311279999999996</v>
      </c>
      <c r="R46" s="101"/>
      <c r="S46" s="101">
        <f t="shared" si="17"/>
        <v>1.0023925714285715</v>
      </c>
      <c r="T46" s="101">
        <f t="shared" si="17"/>
        <v>0</v>
      </c>
      <c r="U46" s="101">
        <f t="shared" si="17"/>
        <v>-0.7949640000000002</v>
      </c>
      <c r="V46" s="101">
        <f>S46+T46+U46</f>
        <v>0.2074285714285713</v>
      </c>
      <c r="W46" s="101"/>
      <c r="X46" s="101">
        <v>0.584729</v>
      </c>
      <c r="Y46" s="101">
        <v>0</v>
      </c>
      <c r="Z46" s="101">
        <f>AP46-Y46-X46</f>
        <v>-0.46372900000000006</v>
      </c>
      <c r="AA46" s="101">
        <f>X46+Y46+Z46</f>
        <v>0.121</v>
      </c>
      <c r="AB46" s="101"/>
      <c r="AC46" s="101"/>
      <c r="AD46" s="101"/>
      <c r="AE46" s="101"/>
      <c r="AF46" s="101"/>
      <c r="AG46" s="101"/>
      <c r="AH46" s="101">
        <v>0</v>
      </c>
      <c r="AI46" s="101">
        <v>0</v>
      </c>
      <c r="AJ46" s="101">
        <v>0.22000860999999994</v>
      </c>
      <c r="AK46" s="101">
        <v>0</v>
      </c>
      <c r="AL46" s="101">
        <f>SUM(AH46:AK46)</f>
        <v>0.22000860999999994</v>
      </c>
      <c r="AN46" s="74">
        <f>0.144</f>
        <v>0.144</v>
      </c>
      <c r="AO46" s="74">
        <v>0.023</v>
      </c>
      <c r="AP46" s="74">
        <f>AN46-AO46</f>
        <v>0.121</v>
      </c>
    </row>
    <row r="47" spans="3:42" s="74" customFormat="1" ht="75">
      <c r="C47" s="98" t="s">
        <v>93</v>
      </c>
      <c r="D47" s="123" t="s">
        <v>159</v>
      </c>
      <c r="E47" s="123"/>
      <c r="F47" s="100" t="s">
        <v>34</v>
      </c>
      <c r="G47" s="99">
        <v>108.39</v>
      </c>
      <c r="H47" s="99"/>
      <c r="I47" s="99">
        <v>5.32</v>
      </c>
      <c r="J47" s="99"/>
      <c r="K47" s="101">
        <v>103.521969</v>
      </c>
      <c r="L47" s="101"/>
      <c r="M47" s="101">
        <v>5.24489978</v>
      </c>
      <c r="N47" s="101"/>
      <c r="O47" s="101">
        <f>K47-G47</f>
        <v>-4.868031000000002</v>
      </c>
      <c r="P47" s="101"/>
      <c r="Q47" s="101">
        <f>M47-I47</f>
        <v>-0.07510022000000038</v>
      </c>
      <c r="R47" s="101"/>
      <c r="S47" s="101">
        <f t="shared" si="17"/>
        <v>2.2113641314285717</v>
      </c>
      <c r="T47" s="101">
        <f t="shared" si="17"/>
        <v>0</v>
      </c>
      <c r="U47" s="101">
        <f t="shared" si="17"/>
        <v>-2.2473641314285713</v>
      </c>
      <c r="V47" s="101">
        <f>S47+T47+U47</f>
        <v>-0.03599999999999959</v>
      </c>
      <c r="W47" s="101"/>
      <c r="X47" s="101">
        <v>1.28996241</v>
      </c>
      <c r="Y47" s="101">
        <v>0</v>
      </c>
      <c r="Z47" s="101">
        <f>AP47-Y47-X47</f>
        <v>-1.31096241</v>
      </c>
      <c r="AA47" s="101">
        <f>X47+Y47+Z47</f>
        <v>-0.020999999999999908</v>
      </c>
      <c r="AB47" s="101"/>
      <c r="AC47" s="101"/>
      <c r="AD47" s="101"/>
      <c r="AE47" s="101"/>
      <c r="AF47" s="101"/>
      <c r="AG47" s="101"/>
      <c r="AH47" s="101">
        <v>0.28164153000000003</v>
      </c>
      <c r="AI47" s="101">
        <v>0</v>
      </c>
      <c r="AJ47" s="101">
        <v>0.23935563999999998</v>
      </c>
      <c r="AK47" s="101">
        <f>0.607-0.02</f>
        <v>0.587</v>
      </c>
      <c r="AL47" s="101">
        <f>SUM(AH47:AK47)</f>
        <v>1.10799717</v>
      </c>
      <c r="AN47" s="74">
        <v>0</v>
      </c>
      <c r="AO47" s="74">
        <v>0.021</v>
      </c>
      <c r="AP47" s="74">
        <f>AN47-AO47</f>
        <v>-0.021</v>
      </c>
    </row>
    <row r="48" spans="3:42" s="74" customFormat="1" ht="60">
      <c r="C48" s="78" t="s">
        <v>94</v>
      </c>
      <c r="D48" s="129" t="s">
        <v>159</v>
      </c>
      <c r="E48" s="129"/>
      <c r="F48" s="75" t="s">
        <v>35</v>
      </c>
      <c r="G48" s="76">
        <v>26.776</v>
      </c>
      <c r="H48" s="76"/>
      <c r="I48" s="76">
        <v>20.899</v>
      </c>
      <c r="J48" s="76"/>
      <c r="K48" s="79">
        <v>23.83302703</v>
      </c>
      <c r="L48" s="79"/>
      <c r="M48" s="79">
        <v>20.672567230000002</v>
      </c>
      <c r="N48" s="79"/>
      <c r="O48" s="77">
        <f>K48-G48</f>
        <v>-2.9429729699999996</v>
      </c>
      <c r="P48" s="77"/>
      <c r="Q48" s="77">
        <f>M48-I48</f>
        <v>-0.22643276999999884</v>
      </c>
      <c r="R48" s="79"/>
      <c r="S48" s="79">
        <f t="shared" si="17"/>
        <v>0</v>
      </c>
      <c r="T48" s="79">
        <f t="shared" si="17"/>
        <v>0</v>
      </c>
      <c r="U48" s="79">
        <f t="shared" si="17"/>
        <v>-11.960571428571429</v>
      </c>
      <c r="V48" s="79">
        <f>S48+T48+U48</f>
        <v>-11.960571428571429</v>
      </c>
      <c r="W48" s="77"/>
      <c r="X48" s="79">
        <v>0</v>
      </c>
      <c r="Y48" s="79">
        <v>0</v>
      </c>
      <c r="Z48" s="79">
        <f>AP48-Y48-X48</f>
        <v>-6.977</v>
      </c>
      <c r="AA48" s="79">
        <f>X48+Y48+Z48</f>
        <v>-6.977</v>
      </c>
      <c r="AB48" s="77"/>
      <c r="AC48" s="77"/>
      <c r="AD48" s="77"/>
      <c r="AE48" s="77"/>
      <c r="AF48" s="77"/>
      <c r="AG48" s="77"/>
      <c r="AH48" s="79">
        <v>1.17344899</v>
      </c>
      <c r="AI48" s="79">
        <v>0</v>
      </c>
      <c r="AJ48" s="79">
        <v>-0.70862246</v>
      </c>
      <c r="AK48" s="79">
        <f>0.202-0.007</f>
        <v>0.195</v>
      </c>
      <c r="AL48" s="79">
        <f>SUM(AH48:AK48)</f>
        <v>0.6598265300000001</v>
      </c>
      <c r="AN48" s="74">
        <f>-7.114</f>
        <v>-7.114</v>
      </c>
      <c r="AO48" s="74">
        <f>-0.137</f>
        <v>-0.137</v>
      </c>
      <c r="AP48" s="74">
        <f>AN48-AO48</f>
        <v>-6.977</v>
      </c>
    </row>
    <row r="49" spans="3:38" ht="30" customHeight="1">
      <c r="C49" s="89" t="s">
        <v>95</v>
      </c>
      <c r="D49" s="125"/>
      <c r="E49" s="125"/>
      <c r="F49" s="36"/>
      <c r="G49" s="58">
        <f>SUM(G45:G48)</f>
        <v>588.0169999999999</v>
      </c>
      <c r="H49" s="58"/>
      <c r="I49" s="58">
        <f>SUM(I45:I48)</f>
        <v>54.211</v>
      </c>
      <c r="J49" s="59"/>
      <c r="K49" s="47">
        <f>SUM(K45:K48)</f>
        <v>519.59502838</v>
      </c>
      <c r="L49" s="47"/>
      <c r="M49" s="47">
        <f>SUM(M45:M48)</f>
        <v>49.77671007</v>
      </c>
      <c r="N49" s="47"/>
      <c r="O49" s="58">
        <f>SUM(O45:O48)</f>
        <v>-68.42197162000001</v>
      </c>
      <c r="P49" s="58"/>
      <c r="Q49" s="58">
        <f>SUM(Q45:Q48)</f>
        <v>-4.434289929999999</v>
      </c>
      <c r="R49" s="47"/>
      <c r="S49" s="47">
        <f>SUM(S45:S48)</f>
        <v>5.010391817142858</v>
      </c>
      <c r="T49" s="47">
        <f>SUM(T45:T48)</f>
        <v>2.060125508571428</v>
      </c>
      <c r="U49" s="47">
        <f>SUM(U45:U48)</f>
        <v>-15.472231611428573</v>
      </c>
      <c r="V49" s="47">
        <f>SUM(V45:V48)</f>
        <v>-8.401714285714286</v>
      </c>
      <c r="W49" s="45"/>
      <c r="X49" s="47">
        <f>SUM(X45:X48)</f>
        <v>2.9227285600000004</v>
      </c>
      <c r="Y49" s="47">
        <f>SUM(Y45:Y48)</f>
        <v>1.2017398799999996</v>
      </c>
      <c r="Z49" s="47">
        <f>SUM(Z45:Z48)</f>
        <v>-9.025468440000001</v>
      </c>
      <c r="AA49" s="47">
        <f>SUM(AA45:AA48)</f>
        <v>-4.901</v>
      </c>
      <c r="AB49" s="45"/>
      <c r="AC49" s="45"/>
      <c r="AD49" s="45"/>
      <c r="AE49" s="45"/>
      <c r="AF49" s="45"/>
      <c r="AG49" s="45"/>
      <c r="AH49" s="47">
        <f>SUM(AH45:AH48)</f>
        <v>1.96370218</v>
      </c>
      <c r="AI49" s="47">
        <f>SUM(AI45:AI48)</f>
        <v>0</v>
      </c>
      <c r="AJ49" s="47">
        <f>SUM(AJ45:AJ48)</f>
        <v>0.22821389999999997</v>
      </c>
      <c r="AK49" s="47">
        <f>SUM(AK45:AK48)</f>
        <v>1.76</v>
      </c>
      <c r="AL49" s="47">
        <f>SUM(AL45:AL48)</f>
        <v>3.95191608</v>
      </c>
    </row>
    <row r="50" spans="1:38" ht="24.75" customHeight="1">
      <c r="A50" s="33" t="s">
        <v>96</v>
      </c>
      <c r="D50" s="120"/>
      <c r="E50" s="120"/>
      <c r="F50" s="28"/>
      <c r="G50" s="28"/>
      <c r="H50" s="28"/>
      <c r="I50" s="28"/>
      <c r="J50" s="28"/>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row>
    <row r="51" spans="3:42" ht="34.5" customHeight="1">
      <c r="C51" s="94" t="s">
        <v>97</v>
      </c>
      <c r="D51" s="128" t="s">
        <v>161</v>
      </c>
      <c r="E51" s="128"/>
      <c r="F51" s="111"/>
      <c r="G51" s="111">
        <v>50</v>
      </c>
      <c r="H51" s="111"/>
      <c r="I51" s="111">
        <v>0</v>
      </c>
      <c r="J51" s="111"/>
      <c r="K51" s="113">
        <v>50</v>
      </c>
      <c r="L51" s="113"/>
      <c r="M51" s="113">
        <v>0</v>
      </c>
      <c r="N51" s="113"/>
      <c r="O51" s="113">
        <f>K51-G51</f>
        <v>0</v>
      </c>
      <c r="P51" s="113"/>
      <c r="Q51" s="113">
        <f>M51-I51</f>
        <v>0</v>
      </c>
      <c r="R51" s="113"/>
      <c r="S51" s="113">
        <f aca="true" t="shared" si="18" ref="S51:U54">(X51/7)*12</f>
        <v>0.4713013714285714</v>
      </c>
      <c r="T51" s="113">
        <f t="shared" si="18"/>
        <v>0</v>
      </c>
      <c r="U51" s="113">
        <f t="shared" si="18"/>
        <v>-0.00330137142857139</v>
      </c>
      <c r="V51" s="113">
        <f>S51+T51+U51</f>
        <v>0.468</v>
      </c>
      <c r="W51" s="113"/>
      <c r="X51" s="113">
        <v>0.2749258</v>
      </c>
      <c r="Y51" s="113">
        <v>0</v>
      </c>
      <c r="Z51" s="113">
        <f>AP51-Y51-X51</f>
        <v>-0.0019257999999999775</v>
      </c>
      <c r="AA51" s="113">
        <f>X51+Y51+Z51</f>
        <v>0.273</v>
      </c>
      <c r="AB51" s="113"/>
      <c r="AC51" s="113"/>
      <c r="AD51" s="113"/>
      <c r="AE51" s="113"/>
      <c r="AF51" s="113"/>
      <c r="AG51" s="113"/>
      <c r="AH51" s="113">
        <v>0.7648861399999999</v>
      </c>
      <c r="AI51" s="113">
        <v>0</v>
      </c>
      <c r="AJ51" s="113">
        <v>0.7177547500000001</v>
      </c>
      <c r="AK51" s="113">
        <f>2.074-0.069</f>
        <v>2.005</v>
      </c>
      <c r="AL51" s="113">
        <f>SUM(AH51:AK51)</f>
        <v>3.4876408899999998</v>
      </c>
      <c r="AN51" s="19">
        <v>0.313</v>
      </c>
      <c r="AO51" s="19">
        <v>0.04</v>
      </c>
      <c r="AP51" s="19">
        <f>AN51-AO51</f>
        <v>0.273</v>
      </c>
    </row>
    <row r="52" spans="3:42" s="74" customFormat="1" ht="30">
      <c r="C52" s="98" t="s">
        <v>98</v>
      </c>
      <c r="D52" s="123" t="s">
        <v>161</v>
      </c>
      <c r="E52" s="123"/>
      <c r="F52" s="100" t="s">
        <v>278</v>
      </c>
      <c r="G52" s="99">
        <v>299.311</v>
      </c>
      <c r="H52" s="99"/>
      <c r="I52" s="99">
        <v>0.255</v>
      </c>
      <c r="J52" s="99"/>
      <c r="K52" s="101">
        <v>304.50511800000004</v>
      </c>
      <c r="L52" s="101"/>
      <c r="M52" s="101">
        <v>0.257496</v>
      </c>
      <c r="N52" s="101"/>
      <c r="O52" s="101">
        <f>K52-G52</f>
        <v>5.19411800000006</v>
      </c>
      <c r="P52" s="101"/>
      <c r="Q52" s="101">
        <f>M52-I52</f>
        <v>0.0024959999999999982</v>
      </c>
      <c r="R52" s="101"/>
      <c r="S52" s="101">
        <f t="shared" si="18"/>
        <v>3.746641611428572</v>
      </c>
      <c r="T52" s="101">
        <f t="shared" si="18"/>
        <v>0.003045493714285714</v>
      </c>
      <c r="U52" s="101">
        <f t="shared" si="18"/>
        <v>-1.5125442480000002</v>
      </c>
      <c r="V52" s="101">
        <f>S52+T52+U52</f>
        <v>2.2371428571428575</v>
      </c>
      <c r="W52" s="101"/>
      <c r="X52" s="101">
        <v>2.18554094</v>
      </c>
      <c r="Y52" s="101">
        <v>0.001776538</v>
      </c>
      <c r="Z52" s="101">
        <f>AP52-Y52-X52</f>
        <v>-0.8823174780000003</v>
      </c>
      <c r="AA52" s="101">
        <f>X52+Y52+Z52</f>
        <v>1.305</v>
      </c>
      <c r="AB52" s="101"/>
      <c r="AC52" s="101"/>
      <c r="AD52" s="101"/>
      <c r="AE52" s="101"/>
      <c r="AF52" s="101"/>
      <c r="AG52" s="101"/>
      <c r="AH52" s="101">
        <v>0</v>
      </c>
      <c r="AI52" s="101">
        <v>0</v>
      </c>
      <c r="AJ52" s="101">
        <v>-0.0015963500000000033</v>
      </c>
      <c r="AK52" s="101">
        <v>0</v>
      </c>
      <c r="AL52" s="101">
        <f>SUM(AH52:AK52)</f>
        <v>-0.0015963500000000033</v>
      </c>
      <c r="AN52" s="74">
        <f>1.615</f>
        <v>1.615</v>
      </c>
      <c r="AO52" s="74">
        <v>0.31</v>
      </c>
      <c r="AP52" s="74">
        <f>AN52-AO52</f>
        <v>1.305</v>
      </c>
    </row>
    <row r="53" spans="3:42" ht="20.25" customHeight="1">
      <c r="C53" s="109" t="s">
        <v>99</v>
      </c>
      <c r="D53" s="124" t="s">
        <v>161</v>
      </c>
      <c r="E53" s="124"/>
      <c r="F53" s="103"/>
      <c r="G53" s="103">
        <v>505.854</v>
      </c>
      <c r="H53" s="103"/>
      <c r="I53" s="103">
        <v>8.429</v>
      </c>
      <c r="J53" s="103"/>
      <c r="K53" s="104">
        <v>602.5444279999999</v>
      </c>
      <c r="L53" s="104"/>
      <c r="M53" s="104">
        <v>9.44742889</v>
      </c>
      <c r="N53" s="104"/>
      <c r="O53" s="104">
        <f>K53-G53</f>
        <v>96.69042799999994</v>
      </c>
      <c r="P53" s="104"/>
      <c r="Q53" s="104">
        <f>M53-I53</f>
        <v>1.0184288899999991</v>
      </c>
      <c r="R53" s="104"/>
      <c r="S53" s="104">
        <f t="shared" si="18"/>
        <v>5.63136504</v>
      </c>
      <c r="T53" s="104">
        <f t="shared" si="18"/>
        <v>3.0454937142857137</v>
      </c>
      <c r="U53" s="104">
        <f t="shared" si="18"/>
        <v>1.3979983885714287</v>
      </c>
      <c r="V53" s="104">
        <f>S53+T53+U53</f>
        <v>10.074857142857143</v>
      </c>
      <c r="W53" s="104"/>
      <c r="X53" s="104">
        <v>3.28496294</v>
      </c>
      <c r="Y53" s="104">
        <v>1.776538</v>
      </c>
      <c r="Z53" s="104">
        <f>AP53-Y53-X53</f>
        <v>0.81549906</v>
      </c>
      <c r="AA53" s="104">
        <f>X53+Y53+Z53</f>
        <v>5.877000000000001</v>
      </c>
      <c r="AB53" s="104"/>
      <c r="AC53" s="104"/>
      <c r="AD53" s="104"/>
      <c r="AE53" s="104"/>
      <c r="AF53" s="104"/>
      <c r="AG53" s="104"/>
      <c r="AH53" s="104">
        <v>0</v>
      </c>
      <c r="AI53" s="104">
        <v>0</v>
      </c>
      <c r="AJ53" s="104">
        <v>-0.25810468000000003</v>
      </c>
      <c r="AK53" s="104">
        <v>0</v>
      </c>
      <c r="AL53" s="104">
        <f>SUM(AH53:AK53)</f>
        <v>-0.25810468000000003</v>
      </c>
      <c r="AN53" s="19">
        <f>6.377</f>
        <v>6.377</v>
      </c>
      <c r="AO53" s="19">
        <v>0.5</v>
      </c>
      <c r="AP53" s="19">
        <f>AN53-AO53</f>
        <v>5.877</v>
      </c>
    </row>
    <row r="54" spans="3:42" ht="22.5" customHeight="1">
      <c r="C54" s="66" t="s">
        <v>100</v>
      </c>
      <c r="D54" s="120" t="s">
        <v>161</v>
      </c>
      <c r="E54" s="120"/>
      <c r="F54" s="28"/>
      <c r="G54" s="28">
        <v>0</v>
      </c>
      <c r="H54" s="28"/>
      <c r="I54" s="28">
        <v>17.832</v>
      </c>
      <c r="J54" s="28"/>
      <c r="K54" s="46">
        <v>0</v>
      </c>
      <c r="L54" s="46"/>
      <c r="M54" s="46">
        <v>14.68977765</v>
      </c>
      <c r="N54" s="46"/>
      <c r="O54" s="45">
        <f>K54-G54</f>
        <v>0</v>
      </c>
      <c r="P54" s="45"/>
      <c r="Q54" s="45">
        <f>M54-I54</f>
        <v>-3.142222350000001</v>
      </c>
      <c r="R54" s="46"/>
      <c r="S54" s="46">
        <f t="shared" si="18"/>
        <v>0</v>
      </c>
      <c r="T54" s="46">
        <f t="shared" si="18"/>
        <v>0</v>
      </c>
      <c r="U54" s="46">
        <f t="shared" si="18"/>
        <v>13.014857142857142</v>
      </c>
      <c r="V54" s="46">
        <f>S54+T54+U54</f>
        <v>13.014857142857142</v>
      </c>
      <c r="W54" s="45"/>
      <c r="X54" s="46">
        <v>0</v>
      </c>
      <c r="Y54" s="46">
        <v>0</v>
      </c>
      <c r="Z54" s="46">
        <f>AP54-Y54-X54</f>
        <v>7.592</v>
      </c>
      <c r="AA54" s="46">
        <f>X54+Y54+Z54</f>
        <v>7.592</v>
      </c>
      <c r="AB54" s="45"/>
      <c r="AC54" s="45"/>
      <c r="AD54" s="45"/>
      <c r="AE54" s="45"/>
      <c r="AF54" s="45"/>
      <c r="AG54" s="45"/>
      <c r="AH54" s="46">
        <v>0</v>
      </c>
      <c r="AI54" s="46">
        <v>0</v>
      </c>
      <c r="AJ54" s="46">
        <v>0</v>
      </c>
      <c r="AK54" s="46">
        <v>0</v>
      </c>
      <c r="AL54" s="46">
        <f>SUM(AH54:AK54)</f>
        <v>0</v>
      </c>
      <c r="AN54" s="19">
        <f>7.54</f>
        <v>7.54</v>
      </c>
      <c r="AO54" s="19">
        <v>-0.052</v>
      </c>
      <c r="AP54" s="19">
        <f>AN54-AO54</f>
        <v>7.592</v>
      </c>
    </row>
    <row r="55" spans="3:38" ht="30">
      <c r="C55" s="89" t="s">
        <v>101</v>
      </c>
      <c r="D55" s="125"/>
      <c r="E55" s="125"/>
      <c r="F55" s="36"/>
      <c r="G55" s="58">
        <f>SUM(G51:G54)</f>
        <v>855.165</v>
      </c>
      <c r="H55" s="58"/>
      <c r="I55" s="58">
        <f>SUM(I51:I54)</f>
        <v>26.516000000000002</v>
      </c>
      <c r="J55" s="59"/>
      <c r="K55" s="47">
        <f>SUM(K51:K54)</f>
        <v>957.049546</v>
      </c>
      <c r="L55" s="47"/>
      <c r="M55" s="47">
        <f>SUM(M51:M54)</f>
        <v>24.394702539999997</v>
      </c>
      <c r="N55" s="47"/>
      <c r="O55" s="58">
        <f>SUM(O51:O54)</f>
        <v>101.884546</v>
      </c>
      <c r="P55" s="58"/>
      <c r="Q55" s="58">
        <f>SUM(Q51:Q54)</f>
        <v>-2.121297460000002</v>
      </c>
      <c r="R55" s="47"/>
      <c r="S55" s="47">
        <f>SUM(S51:S54)</f>
        <v>9.849308022857144</v>
      </c>
      <c r="T55" s="47">
        <f>SUM(T51:T54)</f>
        <v>3.0485392079999993</v>
      </c>
      <c r="U55" s="47">
        <f>SUM(U51:U54)</f>
        <v>12.897009912</v>
      </c>
      <c r="V55" s="47">
        <f>SUM(V51:V54)</f>
        <v>25.794857142857143</v>
      </c>
      <c r="W55" s="45"/>
      <c r="X55" s="47">
        <f>SUM(X51:X54)</f>
        <v>5.745429680000001</v>
      </c>
      <c r="Y55" s="47">
        <f>SUM(Y51:Y54)</f>
        <v>1.778314538</v>
      </c>
      <c r="Z55" s="47">
        <f>SUM(Z51:Z54)</f>
        <v>7.523255782</v>
      </c>
      <c r="AA55" s="47">
        <f>SUM(AA51:AA54)</f>
        <v>15.047</v>
      </c>
      <c r="AB55" s="45"/>
      <c r="AC55" s="45"/>
      <c r="AD55" s="45"/>
      <c r="AE55" s="45"/>
      <c r="AF55" s="45"/>
      <c r="AG55" s="45"/>
      <c r="AH55" s="47">
        <f>SUM(AH51:AH54)</f>
        <v>0.7648861399999999</v>
      </c>
      <c r="AI55" s="47">
        <f>SUM(AI51:AI54)</f>
        <v>0</v>
      </c>
      <c r="AJ55" s="47">
        <f>SUM(AJ51:AJ54)</f>
        <v>0.45805372000000005</v>
      </c>
      <c r="AK55" s="47">
        <f>SUM(AK51:AK54)</f>
        <v>2.005</v>
      </c>
      <c r="AL55" s="47">
        <f>SUM(AL51:AL54)</f>
        <v>3.2279398599999998</v>
      </c>
    </row>
    <row r="56" spans="1:38" ht="24.75" customHeight="1">
      <c r="A56" s="33" t="s">
        <v>102</v>
      </c>
      <c r="D56" s="120"/>
      <c r="E56" s="120"/>
      <c r="F56" s="28"/>
      <c r="G56" s="28"/>
      <c r="H56" s="28"/>
      <c r="I56" s="28"/>
      <c r="J56" s="28"/>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row>
    <row r="57" spans="3:42" s="74" customFormat="1" ht="30">
      <c r="C57" s="94" t="s">
        <v>266</v>
      </c>
      <c r="D57" s="122" t="s">
        <v>161</v>
      </c>
      <c r="E57" s="122"/>
      <c r="F57" s="96" t="s">
        <v>267</v>
      </c>
      <c r="G57" s="95">
        <v>0</v>
      </c>
      <c r="H57" s="95"/>
      <c r="I57" s="95">
        <v>0.073</v>
      </c>
      <c r="J57" s="95"/>
      <c r="K57" s="97">
        <v>0</v>
      </c>
      <c r="L57" s="97"/>
      <c r="M57" s="97">
        <v>0.058692999999999995</v>
      </c>
      <c r="N57" s="97"/>
      <c r="O57" s="97">
        <f>K57-G57</f>
        <v>0</v>
      </c>
      <c r="P57" s="97"/>
      <c r="Q57" s="97">
        <f>M57-I57</f>
        <v>-0.014307</v>
      </c>
      <c r="R57" s="97"/>
      <c r="S57" s="97">
        <f aca="true" t="shared" si="19" ref="S57:U58">(X57/7)*12</f>
        <v>0</v>
      </c>
      <c r="T57" s="97">
        <f t="shared" si="19"/>
        <v>0</v>
      </c>
      <c r="U57" s="97">
        <f t="shared" si="19"/>
        <v>0.09428571428571429</v>
      </c>
      <c r="V57" s="97">
        <f>S57+T57+U57</f>
        <v>0.09428571428571429</v>
      </c>
      <c r="W57" s="97"/>
      <c r="X57" s="97">
        <v>0</v>
      </c>
      <c r="Y57" s="97">
        <v>0</v>
      </c>
      <c r="Z57" s="97">
        <f>AP57-Y57-X57</f>
        <v>0.05500000000000001</v>
      </c>
      <c r="AA57" s="97">
        <f>X57+Y57+Z57</f>
        <v>0.05500000000000001</v>
      </c>
      <c r="AB57" s="97"/>
      <c r="AC57" s="97"/>
      <c r="AD57" s="97"/>
      <c r="AE57" s="97"/>
      <c r="AF57" s="97"/>
      <c r="AG57" s="97"/>
      <c r="AH57" s="97">
        <v>0</v>
      </c>
      <c r="AI57" s="97">
        <v>0</v>
      </c>
      <c r="AJ57" s="97">
        <v>0</v>
      </c>
      <c r="AK57" s="97">
        <v>0</v>
      </c>
      <c r="AL57" s="97">
        <f>SUM(AH57:AK57)</f>
        <v>0</v>
      </c>
      <c r="AN57" s="74">
        <f>0.07</f>
        <v>0.07</v>
      </c>
      <c r="AO57" s="74">
        <v>0.015</v>
      </c>
      <c r="AP57" s="74">
        <f>AN57-AO57</f>
        <v>0.05500000000000001</v>
      </c>
    </row>
    <row r="58" spans="3:42" s="74" customFormat="1" ht="45">
      <c r="C58" s="78" t="s">
        <v>104</v>
      </c>
      <c r="D58" s="129" t="s">
        <v>161</v>
      </c>
      <c r="E58" s="129"/>
      <c r="F58" s="75" t="s">
        <v>276</v>
      </c>
      <c r="G58" s="76">
        <v>0</v>
      </c>
      <c r="H58" s="76"/>
      <c r="I58" s="76">
        <v>15.664</v>
      </c>
      <c r="J58" s="76"/>
      <c r="K58" s="79">
        <v>0</v>
      </c>
      <c r="L58" s="79"/>
      <c r="M58" s="79">
        <v>14.79681589</v>
      </c>
      <c r="N58" s="79"/>
      <c r="O58" s="79">
        <f>K58-G58</f>
        <v>0</v>
      </c>
      <c r="P58" s="79"/>
      <c r="Q58" s="79">
        <f>M58-I58</f>
        <v>-0.8671841100000002</v>
      </c>
      <c r="R58" s="79"/>
      <c r="S58" s="79">
        <f t="shared" si="19"/>
        <v>0</v>
      </c>
      <c r="T58" s="79">
        <f t="shared" si="19"/>
        <v>0</v>
      </c>
      <c r="U58" s="79">
        <f t="shared" si="19"/>
        <v>0.26914285714285713</v>
      </c>
      <c r="V58" s="79">
        <f>S58+T58+U58</f>
        <v>0.26914285714285713</v>
      </c>
      <c r="W58" s="77"/>
      <c r="X58" s="79">
        <v>0</v>
      </c>
      <c r="Y58" s="79">
        <v>0</v>
      </c>
      <c r="Z58" s="79">
        <f>AP58-Y58-X58</f>
        <v>0.15699999999999997</v>
      </c>
      <c r="AA58" s="79">
        <f>X58+Y58+Z58</f>
        <v>0.15699999999999997</v>
      </c>
      <c r="AB58" s="77"/>
      <c r="AC58" s="77"/>
      <c r="AD58" s="77"/>
      <c r="AE58" s="77"/>
      <c r="AF58" s="77"/>
      <c r="AG58" s="77"/>
      <c r="AH58" s="79">
        <v>0</v>
      </c>
      <c r="AI58" s="79">
        <v>0</v>
      </c>
      <c r="AJ58" s="79">
        <v>0</v>
      </c>
      <c r="AK58" s="79">
        <v>0</v>
      </c>
      <c r="AL58" s="79">
        <f>SUM(AH58:AK58)</f>
        <v>0</v>
      </c>
      <c r="AN58" s="74">
        <f>0.086</f>
        <v>0.086</v>
      </c>
      <c r="AO58" s="74">
        <f>-0.071</f>
        <v>-0.071</v>
      </c>
      <c r="AP58" s="74">
        <f>AN58-AO58</f>
        <v>0.15699999999999997</v>
      </c>
    </row>
    <row r="59" spans="3:38" ht="30" customHeight="1">
      <c r="C59" s="89" t="s">
        <v>105</v>
      </c>
      <c r="D59" s="125"/>
      <c r="E59" s="125"/>
      <c r="F59" s="36"/>
      <c r="G59" s="58">
        <f>SUM(G57:G58)</f>
        <v>0</v>
      </c>
      <c r="H59" s="58"/>
      <c r="I59" s="58">
        <f>SUM(I57:I58)</f>
        <v>15.737</v>
      </c>
      <c r="J59" s="59"/>
      <c r="K59" s="47">
        <f>SUM(K57:K58)</f>
        <v>0</v>
      </c>
      <c r="L59" s="47"/>
      <c r="M59" s="47">
        <f>SUM(M57:M58)</f>
        <v>14.85550889</v>
      </c>
      <c r="N59" s="47"/>
      <c r="O59" s="47">
        <f>SUM(O57:O58)</f>
        <v>0</v>
      </c>
      <c r="P59" s="47"/>
      <c r="Q59" s="47">
        <f>SUM(Q57:Q58)</f>
        <v>-0.8814911100000001</v>
      </c>
      <c r="R59" s="47"/>
      <c r="S59" s="47">
        <f>SUM(S57:S58)</f>
        <v>0</v>
      </c>
      <c r="T59" s="47">
        <f>SUM(T57:T58)</f>
        <v>0</v>
      </c>
      <c r="U59" s="47">
        <f>SUM(U57:U58)</f>
        <v>0.36342857142857143</v>
      </c>
      <c r="V59" s="47">
        <f>SUM(V57:V58)</f>
        <v>0.36342857142857143</v>
      </c>
      <c r="W59" s="45"/>
      <c r="X59" s="47">
        <v>0</v>
      </c>
      <c r="Y59" s="47">
        <v>0</v>
      </c>
      <c r="Z59" s="47">
        <v>0</v>
      </c>
      <c r="AA59" s="47">
        <f>SUM(AA57:AA58)</f>
        <v>0.21199999999999997</v>
      </c>
      <c r="AB59" s="45"/>
      <c r="AC59" s="45"/>
      <c r="AD59" s="45"/>
      <c r="AE59" s="45"/>
      <c r="AF59" s="45"/>
      <c r="AG59" s="45"/>
      <c r="AH59" s="45">
        <f>SUM(AH57:AH58)</f>
        <v>0</v>
      </c>
      <c r="AI59" s="45">
        <f>SUM(AI57:AI58)</f>
        <v>0</v>
      </c>
      <c r="AJ59" s="45">
        <f>SUM(AJ57:AJ58)</f>
        <v>0</v>
      </c>
      <c r="AK59" s="45">
        <f>SUM(AK57:AK58)</f>
        <v>0</v>
      </c>
      <c r="AL59" s="45">
        <f>SUM(AH59:AJ59)</f>
        <v>0</v>
      </c>
    </row>
    <row r="60" spans="1:38" ht="24.75" customHeight="1">
      <c r="A60" s="33" t="s">
        <v>106</v>
      </c>
      <c r="D60" s="120"/>
      <c r="E60" s="120"/>
      <c r="F60" s="28"/>
      <c r="G60" s="28"/>
      <c r="H60" s="28"/>
      <c r="I60" s="28"/>
      <c r="J60" s="28"/>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row>
    <row r="61" spans="3:42" s="74" customFormat="1" ht="45">
      <c r="C61" s="94" t="s">
        <v>107</v>
      </c>
      <c r="D61" s="122" t="s">
        <v>161</v>
      </c>
      <c r="E61" s="122"/>
      <c r="F61" s="96" t="s">
        <v>36</v>
      </c>
      <c r="G61" s="95">
        <v>78.826</v>
      </c>
      <c r="H61" s="95"/>
      <c r="I61" s="95">
        <v>0.068</v>
      </c>
      <c r="J61" s="95"/>
      <c r="K61" s="97">
        <v>76.62251041</v>
      </c>
      <c r="L61" s="97"/>
      <c r="M61" s="97">
        <v>0.06670678</v>
      </c>
      <c r="N61" s="97"/>
      <c r="O61" s="97">
        <f>K61-G61</f>
        <v>-2.2034895899999896</v>
      </c>
      <c r="P61" s="97"/>
      <c r="Q61" s="97">
        <f>M61-I61</f>
        <v>-0.0012932200000000116</v>
      </c>
      <c r="R61" s="97"/>
      <c r="S61" s="97">
        <f aca="true" t="shared" si="20" ref="S61:U62">(X61/7)*12</f>
        <v>0</v>
      </c>
      <c r="T61" s="97">
        <f t="shared" si="20"/>
        <v>0</v>
      </c>
      <c r="U61" s="97">
        <f t="shared" si="20"/>
        <v>3.793714285714286</v>
      </c>
      <c r="V61" s="97">
        <f>S61+T61+U61</f>
        <v>3.793714285714286</v>
      </c>
      <c r="W61" s="97"/>
      <c r="X61" s="97">
        <v>0</v>
      </c>
      <c r="Y61" s="97">
        <v>0</v>
      </c>
      <c r="Z61" s="97">
        <f>AP61-Y61-X61</f>
        <v>2.213</v>
      </c>
      <c r="AA61" s="97">
        <f>X61+Y61+Z61</f>
        <v>2.213</v>
      </c>
      <c r="AB61" s="97"/>
      <c r="AC61" s="97"/>
      <c r="AD61" s="97"/>
      <c r="AE61" s="97"/>
      <c r="AF61" s="97"/>
      <c r="AG61" s="97"/>
      <c r="AH61" s="97">
        <v>-2.3E-07</v>
      </c>
      <c r="AI61" s="97">
        <v>0</v>
      </c>
      <c r="AJ61" s="97">
        <v>0.6890373599999999</v>
      </c>
      <c r="AK61" s="97">
        <v>0</v>
      </c>
      <c r="AL61" s="97">
        <f>SUM(AH61:AK61)</f>
        <v>0.6890371299999999</v>
      </c>
      <c r="AN61" s="74">
        <f>2.52</f>
        <v>2.52</v>
      </c>
      <c r="AO61" s="74">
        <v>0.307</v>
      </c>
      <c r="AP61" s="74">
        <f>AN61-AO61</f>
        <v>2.213</v>
      </c>
    </row>
    <row r="62" spans="3:42" ht="30">
      <c r="C62" s="66" t="s">
        <v>108</v>
      </c>
      <c r="D62" s="120" t="s">
        <v>161</v>
      </c>
      <c r="E62" s="120"/>
      <c r="F62" s="65" t="s">
        <v>277</v>
      </c>
      <c r="G62" s="28">
        <v>231.233</v>
      </c>
      <c r="H62" s="28"/>
      <c r="I62" s="28">
        <v>2.535</v>
      </c>
      <c r="J62" s="28"/>
      <c r="K62" s="46">
        <v>224.77005601</v>
      </c>
      <c r="L62" s="46"/>
      <c r="M62" s="46">
        <v>2.46131064</v>
      </c>
      <c r="N62" s="46"/>
      <c r="O62" s="46">
        <f>K62-G62</f>
        <v>-6.462943990000014</v>
      </c>
      <c r="P62" s="46"/>
      <c r="Q62" s="46">
        <f>M62-I62</f>
        <v>-0.07368935999999993</v>
      </c>
      <c r="R62" s="46"/>
      <c r="S62" s="46">
        <f t="shared" si="20"/>
        <v>2.797413171428571</v>
      </c>
      <c r="T62" s="46">
        <f t="shared" si="20"/>
        <v>0</v>
      </c>
      <c r="U62" s="46">
        <f t="shared" si="20"/>
        <v>0.04658682857142857</v>
      </c>
      <c r="V62" s="46">
        <f>S62+T62+U62</f>
        <v>2.8439999999999994</v>
      </c>
      <c r="W62" s="45"/>
      <c r="X62" s="46">
        <v>1.6318243499999998</v>
      </c>
      <c r="Y62" s="46">
        <v>0</v>
      </c>
      <c r="Z62" s="46">
        <f>AP62-Y62-X62</f>
        <v>0.027175649999999996</v>
      </c>
      <c r="AA62" s="46">
        <f>X62+Y62+Z62</f>
        <v>1.6589999999999998</v>
      </c>
      <c r="AB62" s="45"/>
      <c r="AC62" s="45"/>
      <c r="AD62" s="45"/>
      <c r="AE62" s="45"/>
      <c r="AF62" s="45"/>
      <c r="AG62" s="45"/>
      <c r="AH62" s="46">
        <v>-1.07E-06</v>
      </c>
      <c r="AI62" s="46">
        <v>0</v>
      </c>
      <c r="AJ62" s="46">
        <v>0.00947962</v>
      </c>
      <c r="AK62" s="46">
        <v>0</v>
      </c>
      <c r="AL62" s="46">
        <f>SUM(AH62:AK62)</f>
        <v>0.009478549999999999</v>
      </c>
      <c r="AN62" s="19">
        <v>1.886</v>
      </c>
      <c r="AO62" s="19">
        <v>0.227</v>
      </c>
      <c r="AP62" s="19">
        <f>AN62-AO62</f>
        <v>1.6589999999999998</v>
      </c>
    </row>
    <row r="63" spans="3:38" ht="32.25" customHeight="1">
      <c r="C63" s="89" t="s">
        <v>109</v>
      </c>
      <c r="D63" s="125"/>
      <c r="E63" s="125"/>
      <c r="F63" s="36"/>
      <c r="G63" s="58">
        <f>SUM(G61:G62)</f>
        <v>310.05899999999997</v>
      </c>
      <c r="H63" s="58"/>
      <c r="I63" s="58">
        <f>SUM(I61:I62)</f>
        <v>2.603</v>
      </c>
      <c r="J63" s="36"/>
      <c r="K63" s="47">
        <f>SUM(K61:K62)</f>
        <v>301.39256642</v>
      </c>
      <c r="L63" s="47"/>
      <c r="M63" s="47">
        <f>SUM(M61:M62)</f>
        <v>2.5280174200000003</v>
      </c>
      <c r="N63" s="47"/>
      <c r="O63" s="47">
        <f>SUM(O61:O62)</f>
        <v>-8.666433580000003</v>
      </c>
      <c r="P63" s="47"/>
      <c r="Q63" s="47">
        <f>SUM(Q61:Q62)</f>
        <v>-0.07498257999999994</v>
      </c>
      <c r="R63" s="47"/>
      <c r="S63" s="47">
        <f>SUM(S61:S62)</f>
        <v>2.797413171428571</v>
      </c>
      <c r="T63" s="47">
        <f>SUM(T61:T62)</f>
        <v>0</v>
      </c>
      <c r="U63" s="47">
        <f>SUM(U61:U62)</f>
        <v>3.8403011142857144</v>
      </c>
      <c r="V63" s="47">
        <f>SUM(V61:V62)</f>
        <v>6.637714285714285</v>
      </c>
      <c r="W63" s="45"/>
      <c r="X63" s="47">
        <f>SUM(X61:X62)</f>
        <v>1.6318243499999998</v>
      </c>
      <c r="Y63" s="47">
        <f>SUM(Y61:Y62)</f>
        <v>0</v>
      </c>
      <c r="Z63" s="47">
        <f>SUM(Z61:Z62)</f>
        <v>2.2401756500000003</v>
      </c>
      <c r="AA63" s="47">
        <f>SUM(AA61:AA62)</f>
        <v>3.872</v>
      </c>
      <c r="AB63" s="45"/>
      <c r="AC63" s="45"/>
      <c r="AD63" s="45"/>
      <c r="AE63" s="45"/>
      <c r="AF63" s="45"/>
      <c r="AG63" s="45"/>
      <c r="AH63" s="45">
        <f>SUM(AH61:AH62)</f>
        <v>-1.2999999999999998E-06</v>
      </c>
      <c r="AI63" s="45">
        <f>SUM(AI61:AI62)</f>
        <v>0</v>
      </c>
      <c r="AJ63" s="45">
        <f>SUM(AJ61:AJ62)</f>
        <v>0.69851698</v>
      </c>
      <c r="AK63" s="45">
        <f>SUM(AK61:AK62)</f>
        <v>0</v>
      </c>
      <c r="AL63" s="45">
        <f>SUM(AH63:AJ63)</f>
        <v>0.69851568</v>
      </c>
    </row>
    <row r="64" spans="1:38" ht="19.5" customHeight="1">
      <c r="A64" s="33" t="s">
        <v>282</v>
      </c>
      <c r="D64" s="120"/>
      <c r="E64" s="120"/>
      <c r="F64" s="28"/>
      <c r="G64" s="63"/>
      <c r="H64" s="63"/>
      <c r="I64" s="63"/>
      <c r="J64" s="61"/>
      <c r="K64" s="46"/>
      <c r="L64" s="46"/>
      <c r="M64" s="46"/>
      <c r="N64" s="46"/>
      <c r="O64" s="46"/>
      <c r="P64" s="46"/>
      <c r="Q64" s="46"/>
      <c r="R64" s="46"/>
      <c r="S64" s="46"/>
      <c r="T64" s="46"/>
      <c r="U64" s="46"/>
      <c r="V64" s="46"/>
      <c r="W64" s="45"/>
      <c r="X64" s="46"/>
      <c r="Y64" s="46"/>
      <c r="Z64" s="46"/>
      <c r="AA64" s="46"/>
      <c r="AB64" s="45"/>
      <c r="AC64" s="45"/>
      <c r="AD64" s="45"/>
      <c r="AE64" s="45"/>
      <c r="AF64" s="45"/>
      <c r="AG64" s="45"/>
      <c r="AH64" s="46"/>
      <c r="AI64" s="46"/>
      <c r="AJ64" s="46"/>
      <c r="AK64" s="46"/>
      <c r="AL64" s="46"/>
    </row>
    <row r="65" spans="3:42" ht="30" customHeight="1">
      <c r="C65" s="66" t="s">
        <v>283</v>
      </c>
      <c r="D65" s="120" t="s">
        <v>159</v>
      </c>
      <c r="E65" s="132" t="s">
        <v>279</v>
      </c>
      <c r="F65" s="28" t="s">
        <v>284</v>
      </c>
      <c r="G65" s="28">
        <v>0</v>
      </c>
      <c r="H65" s="28"/>
      <c r="I65" s="28">
        <v>0</v>
      </c>
      <c r="J65" s="28"/>
      <c r="K65" s="131">
        <v>0</v>
      </c>
      <c r="L65" s="131"/>
      <c r="M65" s="131">
        <v>0</v>
      </c>
      <c r="N65" s="131"/>
      <c r="O65" s="131">
        <f>K65-G65</f>
        <v>0</v>
      </c>
      <c r="P65" s="131"/>
      <c r="Q65" s="131">
        <f>M65-I65</f>
        <v>0</v>
      </c>
      <c r="R65" s="131"/>
      <c r="S65" s="131">
        <f>(X65/7)*12</f>
        <v>0</v>
      </c>
      <c r="T65" s="131">
        <f>(Y65/7)*12</f>
        <v>0</v>
      </c>
      <c r="U65" s="131">
        <f>(Z65/7)*12</f>
        <v>14.16</v>
      </c>
      <c r="V65" s="131">
        <f>S65+T65+U65</f>
        <v>14.16</v>
      </c>
      <c r="W65" s="45"/>
      <c r="X65" s="131">
        <v>0</v>
      </c>
      <c r="Y65" s="131">
        <v>0</v>
      </c>
      <c r="Z65" s="131">
        <f>AP65-Y65-X65</f>
        <v>8.26</v>
      </c>
      <c r="AA65" s="131">
        <f>X65+Y65+Z65</f>
        <v>8.26</v>
      </c>
      <c r="AB65" s="45"/>
      <c r="AC65" s="45"/>
      <c r="AD65" s="45"/>
      <c r="AE65" s="45"/>
      <c r="AF65" s="45"/>
      <c r="AG65" s="45"/>
      <c r="AH65" s="131">
        <f>2.312+0.281-0.247-0.04</f>
        <v>2.306</v>
      </c>
      <c r="AI65" s="131">
        <f>1.242-0.436</f>
        <v>0.806</v>
      </c>
      <c r="AJ65" s="131">
        <f>2.333-1.058</f>
        <v>1.2750000000000001</v>
      </c>
      <c r="AK65" s="131">
        <f>3.946-0.131</f>
        <v>3.8150000000000004</v>
      </c>
      <c r="AL65" s="131">
        <f>SUM(AH65:AK65)</f>
        <v>8.202000000000002</v>
      </c>
      <c r="AN65" s="19">
        <v>8.262</v>
      </c>
      <c r="AO65" s="19">
        <v>0.002</v>
      </c>
      <c r="AP65" s="19">
        <f>AN65-AO65</f>
        <v>8.26</v>
      </c>
    </row>
    <row r="66" spans="4:38" ht="3.75" customHeight="1">
      <c r="D66" s="120"/>
      <c r="E66" s="120"/>
      <c r="F66" s="28"/>
      <c r="G66" s="62"/>
      <c r="H66" s="62"/>
      <c r="I66" s="62"/>
      <c r="J66" s="28"/>
      <c r="K66" s="131"/>
      <c r="L66" s="131"/>
      <c r="M66" s="131"/>
      <c r="N66" s="131"/>
      <c r="O66" s="131"/>
      <c r="P66" s="131"/>
      <c r="Q66" s="131"/>
      <c r="R66" s="131"/>
      <c r="S66" s="131"/>
      <c r="T66" s="131"/>
      <c r="U66" s="131"/>
      <c r="V66" s="131"/>
      <c r="W66" s="45"/>
      <c r="X66" s="131"/>
      <c r="Y66" s="131"/>
      <c r="Z66" s="131"/>
      <c r="AA66" s="131"/>
      <c r="AB66" s="45"/>
      <c r="AC66" s="45"/>
      <c r="AD66" s="45"/>
      <c r="AE66" s="45"/>
      <c r="AF66" s="45"/>
      <c r="AG66" s="45"/>
      <c r="AH66" s="131"/>
      <c r="AI66" s="131"/>
      <c r="AJ66" s="131"/>
      <c r="AK66" s="131"/>
      <c r="AL66" s="131"/>
    </row>
    <row r="67" spans="3:38" ht="40.5" customHeight="1" thickBot="1">
      <c r="C67" s="90" t="s">
        <v>110</v>
      </c>
      <c r="D67" s="120"/>
      <c r="E67" s="120"/>
      <c r="F67" s="28"/>
      <c r="G67" s="62">
        <f>G63+G59+G55+G49</f>
        <v>1753.241</v>
      </c>
      <c r="H67" s="62"/>
      <c r="I67" s="62">
        <f>I63+I59+I55+I49</f>
        <v>99.06700000000001</v>
      </c>
      <c r="J67" s="28"/>
      <c r="K67" s="115">
        <f>K63+K59+K55+K49+K65</f>
        <v>1778.0371407999999</v>
      </c>
      <c r="L67" s="115"/>
      <c r="M67" s="115">
        <f>M63+M59+M55+M49+M65</f>
        <v>91.55493892</v>
      </c>
      <c r="N67" s="115"/>
      <c r="O67" s="115">
        <f>O63+O59+O55+O49+O65</f>
        <v>24.79614079999999</v>
      </c>
      <c r="P67" s="115"/>
      <c r="Q67" s="115">
        <f>Q63+Q59+Q55+Q49+Q65</f>
        <v>-7.512061080000001</v>
      </c>
      <c r="R67" s="115"/>
      <c r="S67" s="115">
        <f>S63+S59+S55+S49+S65</f>
        <v>17.657113011428574</v>
      </c>
      <c r="T67" s="115">
        <f>T63+T59+T55+T49+T65</f>
        <v>5.108664716571427</v>
      </c>
      <c r="U67" s="115">
        <f>U63+U59+U55+U49+U65</f>
        <v>15.788507986285715</v>
      </c>
      <c r="V67" s="115">
        <f>V63+V59+V55+V49+V65</f>
        <v>38.55428571428571</v>
      </c>
      <c r="W67" s="116"/>
      <c r="X67" s="115">
        <f>X63+X59+X55+X49+X65</f>
        <v>10.29998259</v>
      </c>
      <c r="Y67" s="115">
        <f>Y63+Y59+Y55+Y49+Y65</f>
        <v>2.980054418</v>
      </c>
      <c r="Z67" s="115">
        <f>Z63+Z59+Z55+Z49+Z65</f>
        <v>8.997962992</v>
      </c>
      <c r="AA67" s="115">
        <f>AA63+AA59+AA55+AA49+AA65</f>
        <v>22.490000000000002</v>
      </c>
      <c r="AB67" s="116"/>
      <c r="AC67" s="116"/>
      <c r="AD67" s="116"/>
      <c r="AE67" s="116"/>
      <c r="AF67" s="116"/>
      <c r="AG67" s="116"/>
      <c r="AH67" s="115">
        <f>AH63+AH59+AH55+AH49</f>
        <v>2.72858702</v>
      </c>
      <c r="AI67" s="115">
        <f>AI63+AI59+AI55+AI49</f>
        <v>0</v>
      </c>
      <c r="AJ67" s="115">
        <f>AJ63+AJ59+AJ55+AJ49</f>
        <v>1.3847846000000001</v>
      </c>
      <c r="AK67" s="115">
        <f>AK63+AK59+AK55+AK49</f>
        <v>3.7649999999999997</v>
      </c>
      <c r="AL67" s="115">
        <f>AL63+AL59+AL55+AL49+AL65</f>
        <v>16.08037162</v>
      </c>
    </row>
    <row r="68" spans="4:38" ht="3.75" customHeight="1" thickTop="1">
      <c r="D68" s="120"/>
      <c r="E68" s="120"/>
      <c r="F68" s="28"/>
      <c r="G68" s="28"/>
      <c r="H68" s="28"/>
      <c r="I68" s="28"/>
      <c r="J68" s="28"/>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row>
    <row r="69" spans="1:38" ht="24.75" customHeight="1">
      <c r="A69" s="130" t="s">
        <v>28</v>
      </c>
      <c r="C69" s="88"/>
      <c r="D69" s="121"/>
      <c r="E69" s="121"/>
      <c r="F69" s="32"/>
      <c r="G69" s="32"/>
      <c r="H69" s="32"/>
      <c r="I69" s="32"/>
      <c r="J69" s="32"/>
      <c r="K69" s="49"/>
      <c r="L69" s="49"/>
      <c r="M69" s="49"/>
      <c r="N69" s="49"/>
      <c r="O69" s="49"/>
      <c r="P69" s="49"/>
      <c r="Q69" s="49"/>
      <c r="R69" s="49"/>
      <c r="S69" s="49"/>
      <c r="T69" s="49"/>
      <c r="U69" s="49"/>
      <c r="V69" s="49"/>
      <c r="W69" s="50"/>
      <c r="X69" s="49"/>
      <c r="Y69" s="49"/>
      <c r="Z69" s="49"/>
      <c r="AA69" s="49"/>
      <c r="AB69" s="49"/>
      <c r="AC69" s="49"/>
      <c r="AD69" s="49"/>
      <c r="AE69" s="49"/>
      <c r="AF69" s="49"/>
      <c r="AG69" s="49"/>
      <c r="AH69" s="49"/>
      <c r="AI69" s="49"/>
      <c r="AJ69" s="49"/>
      <c r="AK69" s="49"/>
      <c r="AL69" s="49"/>
    </row>
    <row r="70" spans="1:38" s="74" customFormat="1" ht="105">
      <c r="A70" s="85" t="s">
        <v>112</v>
      </c>
      <c r="C70" s="78"/>
      <c r="D70" s="129"/>
      <c r="E70" s="129"/>
      <c r="F70" s="75" t="s">
        <v>37</v>
      </c>
      <c r="G70" s="76"/>
      <c r="H70" s="76"/>
      <c r="I70" s="76"/>
      <c r="J70" s="76"/>
      <c r="K70" s="77"/>
      <c r="L70" s="77"/>
      <c r="M70" s="77"/>
      <c r="N70" s="77"/>
      <c r="O70" s="77"/>
      <c r="P70" s="77"/>
      <c r="Q70" s="77"/>
      <c r="R70" s="77"/>
      <c r="S70" s="77"/>
      <c r="T70" s="77"/>
      <c r="U70" s="77"/>
      <c r="V70" s="77"/>
      <c r="W70" s="77"/>
      <c r="X70" s="77"/>
      <c r="Y70" s="77"/>
      <c r="Z70" s="77"/>
      <c r="AA70" s="77"/>
      <c r="AB70" s="77"/>
      <c r="AC70" s="77"/>
      <c r="AD70" s="77"/>
      <c r="AE70" s="77"/>
      <c r="AF70" s="77"/>
      <c r="AG70" s="77"/>
      <c r="AH70" s="77"/>
      <c r="AI70" s="77"/>
      <c r="AJ70" s="77"/>
      <c r="AK70" s="77"/>
      <c r="AL70" s="77"/>
    </row>
    <row r="71" spans="3:42" ht="30" customHeight="1">
      <c r="C71" s="66" t="s">
        <v>113</v>
      </c>
      <c r="D71" s="120" t="s">
        <v>160</v>
      </c>
      <c r="E71" s="132" t="s">
        <v>48</v>
      </c>
      <c r="F71" s="28"/>
      <c r="G71" s="28">
        <v>2597.111</v>
      </c>
      <c r="H71" s="28"/>
      <c r="I71" s="28">
        <v>0.289</v>
      </c>
      <c r="J71" s="28"/>
      <c r="K71" s="45">
        <v>1363.418682</v>
      </c>
      <c r="L71" s="45"/>
      <c r="M71" s="45">
        <v>0</v>
      </c>
      <c r="N71" s="45"/>
      <c r="O71" s="45">
        <f>K71-G71</f>
        <v>-1233.692318</v>
      </c>
      <c r="P71" s="45"/>
      <c r="Q71" s="45">
        <f>M71-I71</f>
        <v>-0.289</v>
      </c>
      <c r="R71" s="45"/>
      <c r="S71" s="45">
        <f aca="true" t="shared" si="21" ref="S71:U75">(X71/7)*12</f>
        <v>4.600781125714286</v>
      </c>
      <c r="T71" s="45">
        <f t="shared" si="21"/>
        <v>0</v>
      </c>
      <c r="U71" s="45">
        <f t="shared" si="21"/>
        <v>0.00036173142857087726</v>
      </c>
      <c r="V71" s="45">
        <f>S71+T71+U71</f>
        <v>4.6011428571428565</v>
      </c>
      <c r="W71" s="45"/>
      <c r="X71" s="45">
        <v>2.68378899</v>
      </c>
      <c r="Y71" s="45">
        <v>0</v>
      </c>
      <c r="Z71" s="45">
        <f>AP71-Y71-X71</f>
        <v>0.0002110099999996784</v>
      </c>
      <c r="AA71" s="45">
        <f>X71+Y71+Z71</f>
        <v>2.6839999999999997</v>
      </c>
      <c r="AB71" s="45"/>
      <c r="AC71" s="45"/>
      <c r="AD71" s="45"/>
      <c r="AE71" s="45"/>
      <c r="AF71" s="45"/>
      <c r="AG71" s="45"/>
      <c r="AH71" s="45">
        <v>0</v>
      </c>
      <c r="AI71" s="45">
        <v>0</v>
      </c>
      <c r="AJ71" s="45">
        <v>0</v>
      </c>
      <c r="AK71" s="45">
        <v>0</v>
      </c>
      <c r="AL71" s="45">
        <f aca="true" t="shared" si="22" ref="AL71:AL76">SUM(AH71:AK71)</f>
        <v>0</v>
      </c>
      <c r="AN71" s="19">
        <f>3.122</f>
        <v>3.122</v>
      </c>
      <c r="AO71" s="19">
        <v>0.438</v>
      </c>
      <c r="AP71" s="19">
        <f>AN71-AO71</f>
        <v>2.6839999999999997</v>
      </c>
    </row>
    <row r="72" spans="3:42" ht="24.75" customHeight="1">
      <c r="C72" s="66" t="s">
        <v>114</v>
      </c>
      <c r="D72" s="120" t="s">
        <v>160</v>
      </c>
      <c r="E72" s="132" t="s">
        <v>48</v>
      </c>
      <c r="F72" s="28"/>
      <c r="G72" s="28">
        <v>862.838</v>
      </c>
      <c r="H72" s="28"/>
      <c r="I72" s="28">
        <v>0</v>
      </c>
      <c r="J72" s="28"/>
      <c r="K72" s="45">
        <v>384.91051699999997</v>
      </c>
      <c r="L72" s="45"/>
      <c r="M72" s="45">
        <v>0</v>
      </c>
      <c r="N72" s="45"/>
      <c r="O72" s="45">
        <f>K72-G72</f>
        <v>-477.927483</v>
      </c>
      <c r="P72" s="45"/>
      <c r="Q72" s="45">
        <f>M72-I72</f>
        <v>0</v>
      </c>
      <c r="R72" s="45"/>
      <c r="S72" s="45">
        <f t="shared" si="21"/>
        <v>5.841720994285716</v>
      </c>
      <c r="T72" s="45">
        <f t="shared" si="21"/>
        <v>0</v>
      </c>
      <c r="U72" s="45">
        <f t="shared" si="21"/>
        <v>-0.2908638514285722</v>
      </c>
      <c r="V72" s="45">
        <f>S72+T72+U72</f>
        <v>5.550857142857144</v>
      </c>
      <c r="W72" s="45"/>
      <c r="X72" s="45">
        <v>3.4076705800000004</v>
      </c>
      <c r="Y72" s="45">
        <v>0</v>
      </c>
      <c r="Z72" s="45">
        <f>AP72-Y72-X72</f>
        <v>-0.16967058000000046</v>
      </c>
      <c r="AA72" s="45">
        <f>X72+Y72+Z72</f>
        <v>3.238</v>
      </c>
      <c r="AB72" s="45"/>
      <c r="AC72" s="45"/>
      <c r="AD72" s="45"/>
      <c r="AE72" s="45"/>
      <c r="AF72" s="45"/>
      <c r="AG72" s="45"/>
      <c r="AH72" s="45">
        <v>0</v>
      </c>
      <c r="AI72" s="45">
        <v>0</v>
      </c>
      <c r="AJ72" s="45">
        <v>0.06639351</v>
      </c>
      <c r="AK72" s="45">
        <v>0</v>
      </c>
      <c r="AL72" s="45">
        <f t="shared" si="22"/>
        <v>0.06639351</v>
      </c>
      <c r="AN72" s="19">
        <f>3.927</f>
        <v>3.927</v>
      </c>
      <c r="AO72" s="19">
        <v>0.689</v>
      </c>
      <c r="AP72" s="19">
        <f>AN72-AO72</f>
        <v>3.238</v>
      </c>
    </row>
    <row r="73" spans="3:42" ht="24.75" customHeight="1">
      <c r="C73" s="66" t="s">
        <v>115</v>
      </c>
      <c r="D73" s="120" t="s">
        <v>160</v>
      </c>
      <c r="E73" s="132" t="s">
        <v>48</v>
      </c>
      <c r="F73" s="28"/>
      <c r="G73" s="28">
        <v>28.82</v>
      </c>
      <c r="H73" s="28"/>
      <c r="I73" s="28">
        <v>0</v>
      </c>
      <c r="J73" s="28"/>
      <c r="K73" s="45">
        <v>2.91087</v>
      </c>
      <c r="L73" s="45"/>
      <c r="M73" s="45">
        <v>0</v>
      </c>
      <c r="N73" s="45"/>
      <c r="O73" s="45">
        <f>K73-G73</f>
        <v>-25.90913</v>
      </c>
      <c r="P73" s="45"/>
      <c r="Q73" s="45">
        <f>M73-I73</f>
        <v>0</v>
      </c>
      <c r="R73" s="45"/>
      <c r="S73" s="45">
        <f t="shared" si="21"/>
        <v>0.4302011828571429</v>
      </c>
      <c r="T73" s="45">
        <f t="shared" si="21"/>
        <v>0</v>
      </c>
      <c r="U73" s="45">
        <f t="shared" si="21"/>
        <v>8.45314285713756E-05</v>
      </c>
      <c r="V73" s="45">
        <f>S73+T73+U73</f>
        <v>0.4302857142857143</v>
      </c>
      <c r="W73" s="45"/>
      <c r="X73" s="45">
        <v>0.25095069000000003</v>
      </c>
      <c r="Y73" s="45">
        <v>0</v>
      </c>
      <c r="Z73" s="45">
        <f>AP73-Y73-X73</f>
        <v>4.93099999999691E-05</v>
      </c>
      <c r="AA73" s="45">
        <f>X73+Y73+Z73</f>
        <v>0.251</v>
      </c>
      <c r="AB73" s="45"/>
      <c r="AC73" s="45"/>
      <c r="AD73" s="45"/>
      <c r="AE73" s="45"/>
      <c r="AF73" s="45"/>
      <c r="AG73" s="45"/>
      <c r="AH73" s="45">
        <v>0</v>
      </c>
      <c r="AI73" s="45">
        <v>0</v>
      </c>
      <c r="AJ73" s="45">
        <v>0.10023794</v>
      </c>
      <c r="AK73" s="45">
        <v>0</v>
      </c>
      <c r="AL73" s="45">
        <f t="shared" si="22"/>
        <v>0.10023794</v>
      </c>
      <c r="AN73" s="19">
        <f>0.727</f>
        <v>0.727</v>
      </c>
      <c r="AO73" s="19">
        <v>0.476</v>
      </c>
      <c r="AP73" s="19">
        <f>AN73-AO73</f>
        <v>0.251</v>
      </c>
    </row>
    <row r="74" spans="3:42" ht="24.75" customHeight="1">
      <c r="C74" s="66" t="s">
        <v>116</v>
      </c>
      <c r="D74" s="120" t="s">
        <v>160</v>
      </c>
      <c r="E74" s="132" t="s">
        <v>48</v>
      </c>
      <c r="F74" s="28"/>
      <c r="G74" s="28">
        <v>0</v>
      </c>
      <c r="H74" s="28"/>
      <c r="I74" s="28">
        <v>0</v>
      </c>
      <c r="J74" s="28"/>
      <c r="K74" s="45">
        <v>0</v>
      </c>
      <c r="L74" s="45"/>
      <c r="M74" s="45">
        <v>0</v>
      </c>
      <c r="N74" s="45"/>
      <c r="O74" s="45">
        <f>K74-G74</f>
        <v>0</v>
      </c>
      <c r="P74" s="45"/>
      <c r="Q74" s="45">
        <f>M74-I74</f>
        <v>0</v>
      </c>
      <c r="R74" s="45"/>
      <c r="S74" s="45">
        <f t="shared" si="21"/>
        <v>0</v>
      </c>
      <c r="T74" s="45">
        <f t="shared" si="21"/>
        <v>0</v>
      </c>
      <c r="U74" s="45">
        <f t="shared" si="21"/>
        <v>-0.3154285714285714</v>
      </c>
      <c r="V74" s="45">
        <f>S74+T74+U74</f>
        <v>-0.3154285714285714</v>
      </c>
      <c r="W74" s="45"/>
      <c r="X74" s="45">
        <v>0</v>
      </c>
      <c r="Y74" s="45">
        <v>0</v>
      </c>
      <c r="Z74" s="45">
        <f>AP74-Y74-X74</f>
        <v>-0.184</v>
      </c>
      <c r="AA74" s="45">
        <f>X74+Y74+Z74</f>
        <v>-0.184</v>
      </c>
      <c r="AB74" s="45"/>
      <c r="AC74" s="45"/>
      <c r="AD74" s="45"/>
      <c r="AE74" s="45"/>
      <c r="AF74" s="45"/>
      <c r="AG74" s="45"/>
      <c r="AH74" s="45">
        <v>0.32467506</v>
      </c>
      <c r="AI74" s="45">
        <v>0</v>
      </c>
      <c r="AJ74" s="45">
        <v>4.883185109999999</v>
      </c>
      <c r="AK74" s="45">
        <f>0.61+1.702-0.086-0.068</f>
        <v>2.158</v>
      </c>
      <c r="AL74" s="45">
        <f t="shared" si="22"/>
        <v>7.3658601699999995</v>
      </c>
      <c r="AN74" s="19">
        <f>-0.239</f>
        <v>-0.239</v>
      </c>
      <c r="AO74" s="19">
        <v>-0.055</v>
      </c>
      <c r="AP74" s="19">
        <f>AN74-AO74</f>
        <v>-0.184</v>
      </c>
    </row>
    <row r="75" spans="3:42" ht="24.75" customHeight="1">
      <c r="C75" s="66" t="s">
        <v>117</v>
      </c>
      <c r="D75" s="120" t="s">
        <v>160</v>
      </c>
      <c r="E75" s="132" t="s">
        <v>48</v>
      </c>
      <c r="F75" s="28"/>
      <c r="G75" s="28">
        <v>0</v>
      </c>
      <c r="H75" s="28"/>
      <c r="I75" s="28">
        <v>0.289</v>
      </c>
      <c r="J75" s="28"/>
      <c r="K75" s="46">
        <v>0</v>
      </c>
      <c r="L75" s="46"/>
      <c r="M75" s="46">
        <v>0.289</v>
      </c>
      <c r="N75" s="46"/>
      <c r="O75" s="45">
        <f>K75-G75</f>
        <v>0</v>
      </c>
      <c r="P75" s="45"/>
      <c r="Q75" s="45">
        <f>M75-I75</f>
        <v>0</v>
      </c>
      <c r="R75" s="46"/>
      <c r="S75" s="46">
        <f t="shared" si="21"/>
        <v>0</v>
      </c>
      <c r="T75" s="46">
        <f t="shared" si="21"/>
        <v>0</v>
      </c>
      <c r="U75" s="46">
        <f t="shared" si="21"/>
        <v>0</v>
      </c>
      <c r="V75" s="46">
        <f>S75+T75+U75</f>
        <v>0</v>
      </c>
      <c r="W75" s="45"/>
      <c r="X75" s="46">
        <v>0</v>
      </c>
      <c r="Y75" s="46">
        <v>0</v>
      </c>
      <c r="Z75" s="46">
        <f>AP75-Y75-X75</f>
        <v>0</v>
      </c>
      <c r="AA75" s="46">
        <f>X75+Y75+Z75</f>
        <v>0</v>
      </c>
      <c r="AB75" s="45"/>
      <c r="AC75" s="45"/>
      <c r="AD75" s="45"/>
      <c r="AE75" s="45"/>
      <c r="AF75" s="45"/>
      <c r="AG75" s="45"/>
      <c r="AH75" s="46">
        <v>0</v>
      </c>
      <c r="AI75" s="46">
        <v>0</v>
      </c>
      <c r="AJ75" s="46">
        <v>0</v>
      </c>
      <c r="AK75" s="46">
        <v>0</v>
      </c>
      <c r="AL75" s="46">
        <f t="shared" si="22"/>
        <v>0</v>
      </c>
      <c r="AN75" s="19">
        <v>0</v>
      </c>
      <c r="AO75" s="19">
        <v>0</v>
      </c>
      <c r="AP75" s="19">
        <f>AN75-AO75</f>
        <v>0</v>
      </c>
    </row>
    <row r="76" spans="3:38" ht="24.75" customHeight="1">
      <c r="C76" s="89" t="s">
        <v>118</v>
      </c>
      <c r="D76" s="125"/>
      <c r="E76" s="125"/>
      <c r="F76" s="36"/>
      <c r="G76" s="58">
        <f>SUM(G71:G75)</f>
        <v>3488.769</v>
      </c>
      <c r="H76" s="58"/>
      <c r="I76" s="58">
        <f>SUM(I71:I75)</f>
        <v>0.578</v>
      </c>
      <c r="J76" s="59"/>
      <c r="K76" s="47">
        <f>SUM(K71:K75)</f>
        <v>1751.240069</v>
      </c>
      <c r="L76" s="47"/>
      <c r="M76" s="47">
        <f>SUM(M71:M75)</f>
        <v>0.289</v>
      </c>
      <c r="N76" s="47"/>
      <c r="O76" s="58">
        <f>SUM(O71:O75)</f>
        <v>-1737.5289309999998</v>
      </c>
      <c r="P76" s="58"/>
      <c r="Q76" s="58">
        <f>SUM(Q71:Q75)</f>
        <v>-0.289</v>
      </c>
      <c r="R76" s="47"/>
      <c r="S76" s="47">
        <f>SUM(S71:S75)</f>
        <v>10.872703302857143</v>
      </c>
      <c r="T76" s="47">
        <f>SUM(T71:T75)</f>
        <v>0</v>
      </c>
      <c r="U76" s="47">
        <f>SUM(U71:U75)</f>
        <v>-0.6058461600000014</v>
      </c>
      <c r="V76" s="47">
        <f>SUM(V71:V75)</f>
        <v>10.266857142857145</v>
      </c>
      <c r="W76" s="45"/>
      <c r="X76" s="47">
        <f>SUM(X71:X75)</f>
        <v>6.34241026</v>
      </c>
      <c r="Y76" s="47">
        <f>SUM(Y71:Y75)</f>
        <v>0</v>
      </c>
      <c r="Z76" s="47">
        <f>SUM(Z71:Z75)</f>
        <v>-0.3534102600000008</v>
      </c>
      <c r="AA76" s="47">
        <f>SUM(AA71:AA75)</f>
        <v>5.989</v>
      </c>
      <c r="AB76" s="45"/>
      <c r="AC76" s="45"/>
      <c r="AD76" s="45"/>
      <c r="AE76" s="45"/>
      <c r="AF76" s="45"/>
      <c r="AG76" s="45"/>
      <c r="AH76" s="47">
        <f>SUM(AH71:AH75)</f>
        <v>0.32467506</v>
      </c>
      <c r="AI76" s="47">
        <f>SUM(AI71:AI75)</f>
        <v>0</v>
      </c>
      <c r="AJ76" s="47">
        <f>SUM(AJ71:AJ75)</f>
        <v>5.049816559999999</v>
      </c>
      <c r="AK76" s="47">
        <f>SUM(AK71:AK75)</f>
        <v>2.158</v>
      </c>
      <c r="AL76" s="47">
        <f t="shared" si="22"/>
        <v>7.532491619999998</v>
      </c>
    </row>
    <row r="77" spans="1:38" s="74" customFormat="1" ht="45">
      <c r="A77" s="85" t="s">
        <v>119</v>
      </c>
      <c r="C77" s="91"/>
      <c r="D77" s="129"/>
      <c r="E77" s="129"/>
      <c r="F77" s="75" t="s">
        <v>38</v>
      </c>
      <c r="G77" s="76"/>
      <c r="H77" s="76"/>
      <c r="I77" s="76"/>
      <c r="J77" s="76"/>
      <c r="K77" s="77"/>
      <c r="L77" s="77"/>
      <c r="M77" s="77"/>
      <c r="N77" s="77"/>
      <c r="O77" s="77"/>
      <c r="P77" s="77"/>
      <c r="Q77" s="77"/>
      <c r="R77" s="77"/>
      <c r="S77" s="77"/>
      <c r="T77" s="77"/>
      <c r="U77" s="77"/>
      <c r="V77" s="77"/>
      <c r="W77" s="77"/>
      <c r="X77" s="77"/>
      <c r="Y77" s="77"/>
      <c r="Z77" s="77"/>
      <c r="AA77" s="77"/>
      <c r="AB77" s="77"/>
      <c r="AC77" s="77"/>
      <c r="AD77" s="77"/>
      <c r="AE77" s="77"/>
      <c r="AF77" s="77"/>
      <c r="AG77" s="77"/>
      <c r="AH77" s="77"/>
      <c r="AI77" s="77"/>
      <c r="AJ77" s="77"/>
      <c r="AK77" s="77"/>
      <c r="AL77" s="77"/>
    </row>
    <row r="78" spans="3:42" ht="24.75" customHeight="1">
      <c r="C78" s="66" t="s">
        <v>120</v>
      </c>
      <c r="D78" s="120" t="s">
        <v>159</v>
      </c>
      <c r="E78" s="120"/>
      <c r="F78" s="28"/>
      <c r="G78" s="28">
        <v>1194.27</v>
      </c>
      <c r="H78" s="28"/>
      <c r="I78" s="28">
        <v>0</v>
      </c>
      <c r="J78" s="28"/>
      <c r="K78" s="45">
        <v>39.86488</v>
      </c>
      <c r="L78" s="45"/>
      <c r="M78" s="45">
        <v>0</v>
      </c>
      <c r="N78" s="45"/>
      <c r="O78" s="45">
        <f>K78-G78</f>
        <v>-1154.40512</v>
      </c>
      <c r="P78" s="45"/>
      <c r="Q78" s="45">
        <f>M78-I78</f>
        <v>0</v>
      </c>
      <c r="R78" s="45"/>
      <c r="S78" s="45">
        <f aca="true" t="shared" si="23" ref="S78:U81">(X78/7)*12</f>
        <v>2.5339608514285716</v>
      </c>
      <c r="T78" s="45">
        <f t="shared" si="23"/>
        <v>0</v>
      </c>
      <c r="U78" s="45">
        <f t="shared" si="23"/>
        <v>-0.16824656571428637</v>
      </c>
      <c r="V78" s="45">
        <f>S78+T78+U78</f>
        <v>2.365714285714285</v>
      </c>
      <c r="W78" s="45"/>
      <c r="X78" s="45">
        <v>1.4781438300000003</v>
      </c>
      <c r="Y78" s="45">
        <v>0</v>
      </c>
      <c r="Z78" s="45">
        <f>AP78-Y78-X78</f>
        <v>-0.09814383000000038</v>
      </c>
      <c r="AA78" s="45">
        <f>X78+Y78+Z78</f>
        <v>1.38</v>
      </c>
      <c r="AB78" s="45"/>
      <c r="AC78" s="45"/>
      <c r="AD78" s="45"/>
      <c r="AE78" s="45"/>
      <c r="AF78" s="45"/>
      <c r="AG78" s="45"/>
      <c r="AH78" s="45">
        <v>0.73979089</v>
      </c>
      <c r="AI78" s="45">
        <v>0</v>
      </c>
      <c r="AJ78" s="45">
        <v>0.7329230800000001</v>
      </c>
      <c r="AK78" s="45">
        <f>0.762+2.114-0.108-0.084</f>
        <v>2.6839999999999997</v>
      </c>
      <c r="AL78" s="45">
        <f>SUM(AH78:AJ78)</f>
        <v>1.47271397</v>
      </c>
      <c r="AN78" s="19">
        <v>2.102</v>
      </c>
      <c r="AO78" s="19">
        <v>0.722</v>
      </c>
      <c r="AP78" s="19">
        <f>AN78-AO78</f>
        <v>1.38</v>
      </c>
    </row>
    <row r="79" spans="3:42" ht="24.75" customHeight="1">
      <c r="C79" s="66" t="s">
        <v>115</v>
      </c>
      <c r="D79" s="120" t="s">
        <v>159</v>
      </c>
      <c r="E79" s="120"/>
      <c r="F79" s="28"/>
      <c r="G79" s="28">
        <v>193.337</v>
      </c>
      <c r="H79" s="28"/>
      <c r="I79" s="28">
        <v>0</v>
      </c>
      <c r="J79" s="28"/>
      <c r="K79" s="45">
        <v>60.831756</v>
      </c>
      <c r="L79" s="45"/>
      <c r="M79" s="45">
        <v>0</v>
      </c>
      <c r="N79" s="45"/>
      <c r="O79" s="45">
        <f>K79-G79</f>
        <v>-132.505244</v>
      </c>
      <c r="P79" s="45"/>
      <c r="Q79" s="45">
        <f>M79-I79</f>
        <v>0</v>
      </c>
      <c r="R79" s="45"/>
      <c r="S79" s="45">
        <f t="shared" si="23"/>
        <v>1.0759290342857142</v>
      </c>
      <c r="T79" s="45">
        <f t="shared" si="23"/>
        <v>0</v>
      </c>
      <c r="U79" s="45">
        <f t="shared" si="23"/>
        <v>-0.0027861771428571635</v>
      </c>
      <c r="V79" s="45">
        <f>S79+T79+U79</f>
        <v>1.073142857142857</v>
      </c>
      <c r="W79" s="45"/>
      <c r="X79" s="45">
        <v>0.62762527</v>
      </c>
      <c r="Y79" s="45">
        <v>0</v>
      </c>
      <c r="Z79" s="45">
        <f>AP79-Y79-X79</f>
        <v>-0.001625270000000012</v>
      </c>
      <c r="AA79" s="45">
        <f>X79+Y79+Z79</f>
        <v>0.626</v>
      </c>
      <c r="AB79" s="45"/>
      <c r="AC79" s="45"/>
      <c r="AD79" s="45"/>
      <c r="AE79" s="45"/>
      <c r="AF79" s="45"/>
      <c r="AG79" s="45"/>
      <c r="AH79" s="45">
        <v>0</v>
      </c>
      <c r="AI79" s="45">
        <v>0</v>
      </c>
      <c r="AJ79" s="45">
        <v>0.001057</v>
      </c>
      <c r="AK79" s="45">
        <v>0</v>
      </c>
      <c r="AL79" s="45">
        <f>SUM(AH79:AK79)</f>
        <v>0.001057</v>
      </c>
      <c r="AN79" s="19">
        <v>0.884</v>
      </c>
      <c r="AO79" s="19">
        <v>0.258</v>
      </c>
      <c r="AP79" s="19">
        <f>AN79-AO79</f>
        <v>0.626</v>
      </c>
    </row>
    <row r="80" spans="3:42" ht="24.75" customHeight="1">
      <c r="C80" s="66" t="s">
        <v>121</v>
      </c>
      <c r="D80" s="120" t="s">
        <v>159</v>
      </c>
      <c r="E80" s="120"/>
      <c r="F80" s="28"/>
      <c r="G80" s="28">
        <v>108.887</v>
      </c>
      <c r="H80" s="28"/>
      <c r="I80" s="28">
        <v>0</v>
      </c>
      <c r="J80" s="28"/>
      <c r="K80" s="45">
        <v>0</v>
      </c>
      <c r="L80" s="45"/>
      <c r="M80" s="45">
        <v>0</v>
      </c>
      <c r="N80" s="45"/>
      <c r="O80" s="45">
        <f>K80-G80</f>
        <v>-108.887</v>
      </c>
      <c r="P80" s="45"/>
      <c r="Q80" s="45">
        <f>M80-I80</f>
        <v>0</v>
      </c>
      <c r="R80" s="45"/>
      <c r="S80" s="45">
        <f t="shared" si="23"/>
        <v>0.14912158285714286</v>
      </c>
      <c r="T80" s="45">
        <f t="shared" si="23"/>
        <v>0</v>
      </c>
      <c r="U80" s="45">
        <f t="shared" si="23"/>
        <v>2.1274285714269402E-05</v>
      </c>
      <c r="V80" s="45">
        <f>S80+T80+U80</f>
        <v>0.14914285714285713</v>
      </c>
      <c r="W80" s="45"/>
      <c r="X80" s="45">
        <v>0.08698759</v>
      </c>
      <c r="Y80" s="45">
        <v>0</v>
      </c>
      <c r="Z80" s="45">
        <f>AP80-Y80-X80</f>
        <v>1.2409999999990484E-05</v>
      </c>
      <c r="AA80" s="45">
        <f>X80+Y80+Z80</f>
        <v>0.087</v>
      </c>
      <c r="AB80" s="45"/>
      <c r="AC80" s="45"/>
      <c r="AD80" s="45"/>
      <c r="AE80" s="45"/>
      <c r="AF80" s="45"/>
      <c r="AG80" s="45"/>
      <c r="AH80" s="45">
        <v>0</v>
      </c>
      <c r="AI80" s="45">
        <v>0</v>
      </c>
      <c r="AJ80" s="45">
        <v>0.00929762</v>
      </c>
      <c r="AK80" s="45">
        <v>0</v>
      </c>
      <c r="AL80" s="45">
        <f>SUM(AH80:AK80)</f>
        <v>0.00929762</v>
      </c>
      <c r="AN80" s="19">
        <v>0.118</v>
      </c>
      <c r="AO80" s="19">
        <v>0.031</v>
      </c>
      <c r="AP80" s="19">
        <f>AN80-AO80</f>
        <v>0.087</v>
      </c>
    </row>
    <row r="81" spans="3:42" ht="24.75" customHeight="1">
      <c r="C81" s="66" t="s">
        <v>217</v>
      </c>
      <c r="D81" s="120" t="s">
        <v>159</v>
      </c>
      <c r="E81" s="120"/>
      <c r="F81" s="28"/>
      <c r="G81" s="28">
        <v>21.412</v>
      </c>
      <c r="H81" s="28"/>
      <c r="I81" s="28">
        <v>0</v>
      </c>
      <c r="J81" s="28"/>
      <c r="K81" s="46">
        <v>0</v>
      </c>
      <c r="L81" s="46"/>
      <c r="M81" s="46">
        <v>0</v>
      </c>
      <c r="N81" s="46"/>
      <c r="O81" s="45">
        <f>K81-G81</f>
        <v>-21.412</v>
      </c>
      <c r="P81" s="45"/>
      <c r="Q81" s="45">
        <f>M81-I81</f>
        <v>0</v>
      </c>
      <c r="R81" s="46"/>
      <c r="S81" s="46">
        <f t="shared" si="23"/>
        <v>0.31055485714285713</v>
      </c>
      <c r="T81" s="46">
        <f t="shared" si="23"/>
        <v>0</v>
      </c>
      <c r="U81" s="46">
        <f t="shared" si="23"/>
        <v>-0.04484057142857145</v>
      </c>
      <c r="V81" s="46">
        <f>S81+T81+U81</f>
        <v>0.2657142857142857</v>
      </c>
      <c r="W81" s="45"/>
      <c r="X81" s="46">
        <v>0.181157</v>
      </c>
      <c r="Y81" s="46">
        <v>0</v>
      </c>
      <c r="Z81" s="46">
        <f>AP81-Y81-X81</f>
        <v>-0.026157000000000014</v>
      </c>
      <c r="AA81" s="46">
        <f>X81+Y81+Z81</f>
        <v>0.155</v>
      </c>
      <c r="AB81" s="45"/>
      <c r="AC81" s="45"/>
      <c r="AD81" s="45"/>
      <c r="AE81" s="45"/>
      <c r="AF81" s="45"/>
      <c r="AG81" s="45"/>
      <c r="AH81" s="46">
        <v>0</v>
      </c>
      <c r="AI81" s="46">
        <v>0</v>
      </c>
      <c r="AJ81" s="46">
        <v>0</v>
      </c>
      <c r="AK81" s="46">
        <v>0</v>
      </c>
      <c r="AL81" s="46">
        <f>SUM(AH81:AK81)</f>
        <v>0</v>
      </c>
      <c r="AN81" s="19">
        <v>0.196</v>
      </c>
      <c r="AO81" s="19">
        <v>0.041</v>
      </c>
      <c r="AP81" s="19">
        <f>AN81-AO81</f>
        <v>0.155</v>
      </c>
    </row>
    <row r="82" spans="3:38" ht="32.25" customHeight="1">
      <c r="C82" s="89" t="s">
        <v>123</v>
      </c>
      <c r="D82" s="125"/>
      <c r="E82" s="125"/>
      <c r="F82" s="36"/>
      <c r="G82" s="58">
        <f>SUM(G78:G81)</f>
        <v>1517.906</v>
      </c>
      <c r="H82" s="58"/>
      <c r="I82" s="58">
        <f>SUM(I78:I81)</f>
        <v>0</v>
      </c>
      <c r="J82" s="36"/>
      <c r="K82" s="47">
        <f>SUM(K78:K81)</f>
        <v>100.696636</v>
      </c>
      <c r="L82" s="47"/>
      <c r="M82" s="47">
        <f>SUM(M78:M81)</f>
        <v>0</v>
      </c>
      <c r="N82" s="47"/>
      <c r="O82" s="58">
        <f>SUM(O78:O81)</f>
        <v>-1417.2093639999998</v>
      </c>
      <c r="P82" s="58"/>
      <c r="Q82" s="58">
        <f>SUM(Q77:Q81)</f>
        <v>0</v>
      </c>
      <c r="R82" s="47"/>
      <c r="S82" s="47">
        <f>SUM(S78:S81)</f>
        <v>4.069566325714286</v>
      </c>
      <c r="T82" s="47">
        <f>SUM(T78:T81)</f>
        <v>0</v>
      </c>
      <c r="U82" s="47">
        <f>SUM(U78:U81)</f>
        <v>-0.21585204000000072</v>
      </c>
      <c r="V82" s="47">
        <f>SUM(V78:V81)</f>
        <v>3.8537142857142848</v>
      </c>
      <c r="W82" s="45"/>
      <c r="X82" s="47">
        <f>SUM(X78:X81)</f>
        <v>2.37391369</v>
      </c>
      <c r="Y82" s="47">
        <f>SUM(Y78:Y81)</f>
        <v>0</v>
      </c>
      <c r="Z82" s="47">
        <f>SUM(Z78:Z81)</f>
        <v>-0.1259136900000004</v>
      </c>
      <c r="AA82" s="47">
        <f>SUM(AA78:AA81)</f>
        <v>2.2479999999999998</v>
      </c>
      <c r="AB82" s="45"/>
      <c r="AC82" s="45"/>
      <c r="AD82" s="45"/>
      <c r="AE82" s="45"/>
      <c r="AF82" s="45"/>
      <c r="AG82" s="45"/>
      <c r="AH82" s="47">
        <f>SUM(AH78:AH81)</f>
        <v>0.73979089</v>
      </c>
      <c r="AI82" s="47">
        <f>SUM(AI78:AI81)</f>
        <v>0</v>
      </c>
      <c r="AJ82" s="47">
        <f>SUM(AJ78:AJ81)</f>
        <v>0.7432777</v>
      </c>
      <c r="AK82" s="47">
        <f>SUM(AK78:AK81)</f>
        <v>2.6839999999999997</v>
      </c>
      <c r="AL82" s="47">
        <f>SUM(AH82:AK82)</f>
        <v>4.1670685899999995</v>
      </c>
    </row>
    <row r="83" spans="1:38" ht="24.75" customHeight="1">
      <c r="A83" s="33" t="s">
        <v>124</v>
      </c>
      <c r="D83" s="120"/>
      <c r="E83" s="120"/>
      <c r="F83" s="28"/>
      <c r="G83" s="28"/>
      <c r="H83" s="28"/>
      <c r="I83" s="28"/>
      <c r="J83" s="28"/>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row>
    <row r="84" spans="3:42" ht="24.75" customHeight="1">
      <c r="C84" s="66" t="s">
        <v>125</v>
      </c>
      <c r="D84" s="120" t="s">
        <v>160</v>
      </c>
      <c r="E84" s="132" t="s">
        <v>285</v>
      </c>
      <c r="F84" s="28"/>
      <c r="G84" s="28">
        <v>263.317</v>
      </c>
      <c r="H84" s="28"/>
      <c r="I84" s="28">
        <v>0</v>
      </c>
      <c r="J84" s="28"/>
      <c r="K84" s="45">
        <v>104.14743700000001</v>
      </c>
      <c r="L84" s="45"/>
      <c r="M84" s="45">
        <v>0</v>
      </c>
      <c r="N84" s="45"/>
      <c r="O84" s="45">
        <f>K84-G84</f>
        <v>-159.16956299999998</v>
      </c>
      <c r="P84" s="45"/>
      <c r="Q84" s="45">
        <f>M84-I84</f>
        <v>0</v>
      </c>
      <c r="R84" s="45"/>
      <c r="S84" s="45">
        <f aca="true" t="shared" si="24" ref="S84:U88">(X84/7)*12</f>
        <v>0.3595327028571429</v>
      </c>
      <c r="T84" s="45">
        <f t="shared" si="24"/>
        <v>0</v>
      </c>
      <c r="U84" s="45">
        <f t="shared" si="24"/>
        <v>-0.020104131428571467</v>
      </c>
      <c r="V84" s="45">
        <f>S84+T84+U84</f>
        <v>0.3394285714285714</v>
      </c>
      <c r="W84" s="45"/>
      <c r="X84" s="45">
        <v>0.20972741</v>
      </c>
      <c r="Y84" s="45">
        <v>0</v>
      </c>
      <c r="Z84" s="45">
        <f>AP84-Y84-X84</f>
        <v>-0.011727410000000021</v>
      </c>
      <c r="AA84" s="45">
        <f>X84+Y84+Z84</f>
        <v>0.19799999999999998</v>
      </c>
      <c r="AB84" s="45"/>
      <c r="AC84" s="45"/>
      <c r="AD84" s="45"/>
      <c r="AE84" s="45"/>
      <c r="AF84" s="45"/>
      <c r="AG84" s="45"/>
      <c r="AH84" s="45">
        <v>0.33304564999999997</v>
      </c>
      <c r="AI84" s="45">
        <v>0</v>
      </c>
      <c r="AJ84" s="45">
        <v>0.29987474</v>
      </c>
      <c r="AK84" s="45">
        <f>0.305+0.826-0.043-0.033</f>
        <v>1.0550000000000002</v>
      </c>
      <c r="AL84" s="45">
        <f>SUM(AH84:AK84)</f>
        <v>1.6879203900000002</v>
      </c>
      <c r="AN84" s="19">
        <v>0.293</v>
      </c>
      <c r="AO84" s="19">
        <v>0.095</v>
      </c>
      <c r="AP84" s="19">
        <f>AN84-AO84</f>
        <v>0.19799999999999998</v>
      </c>
    </row>
    <row r="85" spans="3:42" ht="24.75" customHeight="1">
      <c r="C85" s="66" t="s">
        <v>126</v>
      </c>
      <c r="D85" s="120" t="s">
        <v>160</v>
      </c>
      <c r="E85" s="132" t="s">
        <v>285</v>
      </c>
      <c r="F85" s="28"/>
      <c r="G85" s="28">
        <v>808.448</v>
      </c>
      <c r="H85" s="28"/>
      <c r="I85" s="28">
        <v>0</v>
      </c>
      <c r="J85" s="28"/>
      <c r="K85" s="45">
        <v>0</v>
      </c>
      <c r="L85" s="45"/>
      <c r="M85" s="45">
        <v>0</v>
      </c>
      <c r="N85" s="45"/>
      <c r="O85" s="45">
        <f>K85-G85</f>
        <v>-808.448</v>
      </c>
      <c r="P85" s="45"/>
      <c r="Q85" s="45">
        <f>M85-I85</f>
        <v>0</v>
      </c>
      <c r="R85" s="45"/>
      <c r="S85" s="45">
        <f t="shared" si="24"/>
        <v>1.0433756742857143</v>
      </c>
      <c r="T85" s="45">
        <f t="shared" si="24"/>
        <v>0</v>
      </c>
      <c r="U85" s="45">
        <f t="shared" si="24"/>
        <v>0.0006243257142856912</v>
      </c>
      <c r="V85" s="45">
        <f>S85+T85+U85</f>
        <v>1.044</v>
      </c>
      <c r="W85" s="45"/>
      <c r="X85" s="45">
        <v>0.60863581</v>
      </c>
      <c r="Y85" s="45">
        <v>0</v>
      </c>
      <c r="Z85" s="45">
        <f>AP85-Y85-X85</f>
        <v>0.00036418999999998647</v>
      </c>
      <c r="AA85" s="45">
        <f>X85+Y85+Z85</f>
        <v>0.609</v>
      </c>
      <c r="AB85" s="45"/>
      <c r="AC85" s="45"/>
      <c r="AD85" s="45"/>
      <c r="AE85" s="45"/>
      <c r="AF85" s="45"/>
      <c r="AG85" s="45"/>
      <c r="AH85" s="45">
        <v>1.389999999999985E-06</v>
      </c>
      <c r="AI85" s="45">
        <v>0</v>
      </c>
      <c r="AJ85" s="45">
        <v>0.010806610000000001</v>
      </c>
      <c r="AK85" s="45">
        <v>0</v>
      </c>
      <c r="AL85" s="45">
        <f>SUM(AH85:AK85)</f>
        <v>0.010808000000000002</v>
      </c>
      <c r="AN85" s="19">
        <v>0.831</v>
      </c>
      <c r="AO85" s="19">
        <v>0.222</v>
      </c>
      <c r="AP85" s="19">
        <f>AN85-AO85</f>
        <v>0.609</v>
      </c>
    </row>
    <row r="86" spans="3:42" ht="24.75" customHeight="1">
      <c r="C86" s="66" t="s">
        <v>127</v>
      </c>
      <c r="D86" s="120" t="s">
        <v>160</v>
      </c>
      <c r="E86" s="132" t="s">
        <v>285</v>
      </c>
      <c r="F86" s="28"/>
      <c r="G86" s="28">
        <v>30.329</v>
      </c>
      <c r="H86" s="28"/>
      <c r="I86" s="28">
        <v>3.778</v>
      </c>
      <c r="J86" s="28"/>
      <c r="K86" s="45">
        <v>14.299275999999999</v>
      </c>
      <c r="L86" s="45"/>
      <c r="M86" s="45">
        <v>3.7853157</v>
      </c>
      <c r="N86" s="45"/>
      <c r="O86" s="45">
        <f>K86-G86</f>
        <v>-16.029724</v>
      </c>
      <c r="P86" s="45"/>
      <c r="Q86" s="45">
        <f>M86-I86</f>
        <v>0.007315699999999925</v>
      </c>
      <c r="R86" s="45"/>
      <c r="S86" s="45">
        <f t="shared" si="24"/>
        <v>0.02639002285714286</v>
      </c>
      <c r="T86" s="45">
        <f t="shared" si="24"/>
        <v>0</v>
      </c>
      <c r="U86" s="45">
        <f t="shared" si="24"/>
        <v>-2.2343900228571427</v>
      </c>
      <c r="V86" s="45">
        <f>S86+T86+U86</f>
        <v>-2.2079999999999997</v>
      </c>
      <c r="W86" s="45"/>
      <c r="X86" s="45">
        <v>0.01539418</v>
      </c>
      <c r="Y86" s="45">
        <v>0</v>
      </c>
      <c r="Z86" s="45">
        <f>AP86-Y86-X86</f>
        <v>-1.30339418</v>
      </c>
      <c r="AA86" s="45">
        <f>X86+Y86+Z86</f>
        <v>-1.288</v>
      </c>
      <c r="AB86" s="45"/>
      <c r="AC86" s="45"/>
      <c r="AD86" s="45"/>
      <c r="AE86" s="45"/>
      <c r="AF86" s="45"/>
      <c r="AG86" s="45"/>
      <c r="AH86" s="45">
        <v>0</v>
      </c>
      <c r="AI86" s="45">
        <v>0</v>
      </c>
      <c r="AJ86" s="45">
        <v>0.021531639999999998</v>
      </c>
      <c r="AK86" s="45">
        <v>0</v>
      </c>
      <c r="AL86" s="45">
        <f>SUM(AH86:AK86)</f>
        <v>0.021531639999999998</v>
      </c>
      <c r="AN86" s="19">
        <f>-1.409</f>
        <v>-1.409</v>
      </c>
      <c r="AO86" s="19">
        <f>-0.121</f>
        <v>-0.121</v>
      </c>
      <c r="AP86" s="19">
        <f>AN86-AO86</f>
        <v>-1.288</v>
      </c>
    </row>
    <row r="87" spans="3:42" ht="24.75" customHeight="1">
      <c r="C87" s="66" t="s">
        <v>128</v>
      </c>
      <c r="D87" s="120" t="s">
        <v>160</v>
      </c>
      <c r="E87" s="132" t="s">
        <v>285</v>
      </c>
      <c r="F87" s="28"/>
      <c r="G87" s="28">
        <v>4.852</v>
      </c>
      <c r="H87" s="28"/>
      <c r="I87" s="28">
        <v>2.588</v>
      </c>
      <c r="J87" s="28"/>
      <c r="K87" s="45">
        <v>5.3</v>
      </c>
      <c r="L87" s="45"/>
      <c r="M87" s="45">
        <v>2.55831069</v>
      </c>
      <c r="N87" s="45"/>
      <c r="O87" s="45">
        <f>K87-G87</f>
        <v>0.4479999999999995</v>
      </c>
      <c r="P87" s="45"/>
      <c r="Q87" s="45">
        <f>M87-I87</f>
        <v>-0.02968931000000019</v>
      </c>
      <c r="R87" s="45"/>
      <c r="S87" s="45">
        <f t="shared" si="24"/>
        <v>-0.2656563257142857</v>
      </c>
      <c r="T87" s="45">
        <f t="shared" si="24"/>
        <v>0</v>
      </c>
      <c r="U87" s="45">
        <f t="shared" si="24"/>
        <v>-3.9772008171428572</v>
      </c>
      <c r="V87" s="45">
        <f>S87+T87+U87</f>
        <v>-4.242857142857143</v>
      </c>
      <c r="W87" s="45"/>
      <c r="X87" s="45">
        <v>-0.15496619</v>
      </c>
      <c r="Y87" s="45">
        <v>0</v>
      </c>
      <c r="Z87" s="45">
        <f>AP87-Y87-X87</f>
        <v>-2.32003381</v>
      </c>
      <c r="AA87" s="45">
        <f>X87+Y87+Z87</f>
        <v>-2.475</v>
      </c>
      <c r="AB87" s="45"/>
      <c r="AC87" s="45"/>
      <c r="AD87" s="45"/>
      <c r="AE87" s="45"/>
      <c r="AF87" s="45"/>
      <c r="AG87" s="45"/>
      <c r="AH87" s="45">
        <v>0</v>
      </c>
      <c r="AI87" s="45">
        <v>0</v>
      </c>
      <c r="AJ87" s="45">
        <v>0.5835812099999999</v>
      </c>
      <c r="AK87" s="45">
        <f>0.229+0.619-0.032-0.025</f>
        <v>0.7909999999999999</v>
      </c>
      <c r="AL87" s="45">
        <f>SUM(AH87:AK87)</f>
        <v>1.3745812099999997</v>
      </c>
      <c r="AN87" s="19">
        <f>-2.259</f>
        <v>-2.259</v>
      </c>
      <c r="AO87" s="19">
        <v>0.216</v>
      </c>
      <c r="AP87" s="19">
        <f>AN87-AO87</f>
        <v>-2.475</v>
      </c>
    </row>
    <row r="88" spans="3:42" ht="24.75" customHeight="1">
      <c r="C88" s="92" t="s">
        <v>129</v>
      </c>
      <c r="D88" s="120" t="s">
        <v>160</v>
      </c>
      <c r="E88" s="132" t="s">
        <v>285</v>
      </c>
      <c r="F88" s="28"/>
      <c r="G88" s="28">
        <v>47.625</v>
      </c>
      <c r="H88" s="28"/>
      <c r="I88" s="28">
        <v>7.543</v>
      </c>
      <c r="J88" s="28"/>
      <c r="K88" s="46">
        <v>13.164431</v>
      </c>
      <c r="L88" s="46"/>
      <c r="M88" s="46">
        <v>7.88409688</v>
      </c>
      <c r="N88" s="46"/>
      <c r="O88" s="46">
        <f>K88-G88</f>
        <v>-34.460569</v>
      </c>
      <c r="P88" s="46"/>
      <c r="Q88" s="46">
        <f>M88-I88</f>
        <v>0.34109688000000027</v>
      </c>
      <c r="R88" s="46"/>
      <c r="S88" s="46">
        <f t="shared" si="24"/>
        <v>-0.025438748571428575</v>
      </c>
      <c r="T88" s="46">
        <f t="shared" si="24"/>
        <v>0</v>
      </c>
      <c r="U88" s="46">
        <f t="shared" si="24"/>
        <v>-1.0237041085714287</v>
      </c>
      <c r="V88" s="46">
        <f>S88+T88+U88</f>
        <v>-1.0491428571428572</v>
      </c>
      <c r="W88" s="45"/>
      <c r="X88" s="46">
        <v>-0.01483927</v>
      </c>
      <c r="Y88" s="46">
        <v>0</v>
      </c>
      <c r="Z88" s="46">
        <f>AP88-Y88-X88</f>
        <v>-0.59716073</v>
      </c>
      <c r="AA88" s="46">
        <f>X88+Y88+Z88</f>
        <v>-0.612</v>
      </c>
      <c r="AB88" s="45"/>
      <c r="AC88" s="45"/>
      <c r="AD88" s="45"/>
      <c r="AE88" s="45"/>
      <c r="AF88" s="45"/>
      <c r="AG88" s="45"/>
      <c r="AH88" s="46">
        <v>0</v>
      </c>
      <c r="AI88" s="46">
        <v>0</v>
      </c>
      <c r="AJ88" s="46">
        <v>0</v>
      </c>
      <c r="AK88" s="46">
        <v>0</v>
      </c>
      <c r="AL88" s="46">
        <f>SUM(AH88:AK88)</f>
        <v>0</v>
      </c>
      <c r="AN88" s="19">
        <f>-0.72</f>
        <v>-0.72</v>
      </c>
      <c r="AO88" s="19">
        <v>-0.108</v>
      </c>
      <c r="AP88" s="19">
        <f>AN88-AO88</f>
        <v>-0.612</v>
      </c>
    </row>
    <row r="89" spans="3:38" ht="24.75" customHeight="1">
      <c r="C89" s="89" t="s">
        <v>130</v>
      </c>
      <c r="D89" s="125"/>
      <c r="E89" s="125"/>
      <c r="F89" s="36"/>
      <c r="G89" s="58">
        <f>SUM(G84:G88)</f>
        <v>1154.571</v>
      </c>
      <c r="H89" s="58"/>
      <c r="I89" s="58">
        <f>SUM(I84:I88)</f>
        <v>13.908999999999999</v>
      </c>
      <c r="J89" s="36"/>
      <c r="K89" s="47">
        <f>SUM(K84:K88)</f>
        <v>136.911144</v>
      </c>
      <c r="L89" s="47"/>
      <c r="M89" s="47">
        <f>SUM(M84:M88)</f>
        <v>14.22772327</v>
      </c>
      <c r="N89" s="47"/>
      <c r="O89" s="47">
        <f>SUM(O84:O88)</f>
        <v>-1017.659856</v>
      </c>
      <c r="P89" s="47"/>
      <c r="Q89" s="47">
        <f>SUM(Q84:Q88)</f>
        <v>0.31872327</v>
      </c>
      <c r="R89" s="47"/>
      <c r="S89" s="47">
        <f>SUM(S84:S88)</f>
        <v>1.1382033257142858</v>
      </c>
      <c r="T89" s="47">
        <f>SUM(T84:T88)</f>
        <v>0</v>
      </c>
      <c r="U89" s="47">
        <f>SUM(U84:U88)</f>
        <v>-7.254774754285715</v>
      </c>
      <c r="V89" s="47">
        <f>SUM(V84:V88)</f>
        <v>-6.1165714285714285</v>
      </c>
      <c r="W89" s="45"/>
      <c r="X89" s="47">
        <f>SUM(X84:X88)</f>
        <v>0.66395194</v>
      </c>
      <c r="Y89" s="47">
        <f>SUM(Y84:Y88)</f>
        <v>0</v>
      </c>
      <c r="Z89" s="47">
        <f>SUM(Z84:Z88)</f>
        <v>-4.23195194</v>
      </c>
      <c r="AA89" s="47">
        <f>SUM(AA84:AA88)</f>
        <v>-3.5680000000000005</v>
      </c>
      <c r="AB89" s="45"/>
      <c r="AC89" s="45"/>
      <c r="AD89" s="45"/>
      <c r="AE89" s="45"/>
      <c r="AF89" s="45"/>
      <c r="AG89" s="45"/>
      <c r="AH89" s="47">
        <f>SUM(AH84:AH88)</f>
        <v>0.33304703999999996</v>
      </c>
      <c r="AI89" s="47">
        <f>SUM(AI84:AI88)</f>
        <v>0</v>
      </c>
      <c r="AJ89" s="47">
        <f>SUM(AJ84:AJ88)</f>
        <v>0.9157941999999999</v>
      </c>
      <c r="AK89" s="47">
        <f>SUM(AK84:AK88)</f>
        <v>1.846</v>
      </c>
      <c r="AL89" s="47">
        <f>SUM(AL84:AL88)</f>
        <v>3.09484124</v>
      </c>
    </row>
    <row r="90" spans="1:38" s="74" customFormat="1" ht="60">
      <c r="A90" s="85" t="s">
        <v>131</v>
      </c>
      <c r="C90" s="78"/>
      <c r="D90" s="129"/>
      <c r="E90" s="129"/>
      <c r="F90" s="75" t="s">
        <v>26</v>
      </c>
      <c r="G90" s="76"/>
      <c r="H90" s="76"/>
      <c r="I90" s="76"/>
      <c r="J90" s="76"/>
      <c r="K90" s="77"/>
      <c r="L90" s="77"/>
      <c r="M90" s="77"/>
      <c r="N90" s="77"/>
      <c r="O90" s="77"/>
      <c r="P90" s="77"/>
      <c r="Q90" s="77"/>
      <c r="R90" s="77"/>
      <c r="S90" s="77"/>
      <c r="T90" s="77"/>
      <c r="U90" s="77"/>
      <c r="V90" s="77"/>
      <c r="W90" s="77"/>
      <c r="X90" s="77"/>
      <c r="Y90" s="77"/>
      <c r="Z90" s="77"/>
      <c r="AA90" s="77"/>
      <c r="AB90" s="77"/>
      <c r="AC90" s="77"/>
      <c r="AD90" s="77"/>
      <c r="AE90" s="77"/>
      <c r="AF90" s="77"/>
      <c r="AG90" s="77"/>
      <c r="AH90" s="77"/>
      <c r="AI90" s="77"/>
      <c r="AJ90" s="77"/>
      <c r="AK90" s="77"/>
      <c r="AL90" s="77"/>
    </row>
    <row r="91" spans="3:42" ht="24.75" customHeight="1">
      <c r="C91" s="66" t="s">
        <v>132</v>
      </c>
      <c r="D91" s="120" t="s">
        <v>159</v>
      </c>
      <c r="E91" s="120"/>
      <c r="F91" s="28"/>
      <c r="G91" s="28">
        <v>315.498</v>
      </c>
      <c r="H91" s="28"/>
      <c r="I91" s="28">
        <v>15.668</v>
      </c>
      <c r="J91" s="28"/>
      <c r="K91" s="45">
        <v>273.43483749</v>
      </c>
      <c r="L91" s="45"/>
      <c r="M91" s="45">
        <v>15.64392145</v>
      </c>
      <c r="N91" s="45"/>
      <c r="O91" s="45">
        <f>K91-G91</f>
        <v>-42.063162509999984</v>
      </c>
      <c r="P91" s="45"/>
      <c r="Q91" s="45">
        <f>M91-I91</f>
        <v>-0.0240785499999987</v>
      </c>
      <c r="R91" s="45"/>
      <c r="S91" s="45">
        <f aca="true" t="shared" si="25" ref="S91:U92">(X91/7)*12</f>
        <v>1.597817297142857</v>
      </c>
      <c r="T91" s="45">
        <f t="shared" si="25"/>
        <v>0</v>
      </c>
      <c r="U91" s="45">
        <f t="shared" si="25"/>
        <v>1.3781827028571436</v>
      </c>
      <c r="V91" s="45">
        <f>S91+T91+U91</f>
        <v>2.976000000000001</v>
      </c>
      <c r="W91" s="45"/>
      <c r="X91" s="45">
        <v>0.9320600899999998</v>
      </c>
      <c r="Y91" s="45">
        <v>0</v>
      </c>
      <c r="Z91" s="45">
        <f>AP91-Y91-X91</f>
        <v>0.8039399100000004</v>
      </c>
      <c r="AA91" s="45">
        <f>X91+Y91+Z91</f>
        <v>1.7360000000000002</v>
      </c>
      <c r="AC91" s="45"/>
      <c r="AD91" s="45"/>
      <c r="AE91" s="45"/>
      <c r="AF91" s="45"/>
      <c r="AG91" s="45"/>
      <c r="AH91" s="45">
        <v>0</v>
      </c>
      <c r="AI91" s="45">
        <v>0</v>
      </c>
      <c r="AJ91" s="45">
        <v>0.16425195999999997</v>
      </c>
      <c r="AK91" s="45">
        <v>0</v>
      </c>
      <c r="AL91" s="45">
        <f>SUM(AH91:AK91)</f>
        <v>0.16425195999999997</v>
      </c>
      <c r="AN91" s="19">
        <v>2.41</v>
      </c>
      <c r="AO91" s="19">
        <v>0.674</v>
      </c>
      <c r="AP91" s="19">
        <f>AN91-AO91</f>
        <v>1.7360000000000002</v>
      </c>
    </row>
    <row r="92" spans="3:42" ht="24.75" customHeight="1">
      <c r="C92" s="66" t="s">
        <v>133</v>
      </c>
      <c r="D92" s="120" t="s">
        <v>159</v>
      </c>
      <c r="E92" s="120"/>
      <c r="F92" s="28"/>
      <c r="G92" s="28">
        <v>17.106</v>
      </c>
      <c r="H92" s="28"/>
      <c r="I92" s="28">
        <v>5.8</v>
      </c>
      <c r="J92" s="28"/>
      <c r="K92" s="46">
        <v>11.74984349</v>
      </c>
      <c r="L92" s="46"/>
      <c r="M92" s="46">
        <v>5.49397279</v>
      </c>
      <c r="N92" s="46"/>
      <c r="O92" s="46">
        <f>K92-G92</f>
        <v>-5.356156510000002</v>
      </c>
      <c r="P92" s="46"/>
      <c r="Q92" s="46">
        <f>M92-I92</f>
        <v>-0.3060272099999999</v>
      </c>
      <c r="R92" s="46"/>
      <c r="S92" s="46">
        <f t="shared" si="25"/>
        <v>-0.017314285714285713</v>
      </c>
      <c r="T92" s="46">
        <f t="shared" si="25"/>
        <v>0</v>
      </c>
      <c r="U92" s="46">
        <f t="shared" si="25"/>
        <v>-1.7364</v>
      </c>
      <c r="V92" s="46">
        <f>S92+T92+U92</f>
        <v>-1.7537142857142856</v>
      </c>
      <c r="W92" s="45"/>
      <c r="X92" s="46">
        <v>-0.0101</v>
      </c>
      <c r="Y92" s="46">
        <v>0</v>
      </c>
      <c r="Z92" s="46">
        <f>AP92-Y92-X92</f>
        <v>-1.0129</v>
      </c>
      <c r="AA92" s="46">
        <f>X92+Y92+Z92</f>
        <v>-1.023</v>
      </c>
      <c r="AB92" s="45"/>
      <c r="AC92" s="45"/>
      <c r="AD92" s="45"/>
      <c r="AE92" s="45"/>
      <c r="AF92" s="45"/>
      <c r="AG92" s="45"/>
      <c r="AH92" s="46">
        <v>0</v>
      </c>
      <c r="AI92" s="46">
        <v>0</v>
      </c>
      <c r="AJ92" s="46">
        <v>0.09627604</v>
      </c>
      <c r="AK92" s="46">
        <v>0</v>
      </c>
      <c r="AL92" s="46">
        <f>SUM(AH92:AK92)</f>
        <v>0.09627604</v>
      </c>
      <c r="AN92" s="19">
        <f>-1.107</f>
        <v>-1.107</v>
      </c>
      <c r="AO92" s="19">
        <v>-0.084</v>
      </c>
      <c r="AP92" s="19">
        <f>AN92-AO92</f>
        <v>-1.023</v>
      </c>
    </row>
    <row r="93" spans="3:38" ht="24.75" customHeight="1">
      <c r="C93" s="89" t="s">
        <v>134</v>
      </c>
      <c r="D93" s="125"/>
      <c r="E93" s="125"/>
      <c r="F93" s="36"/>
      <c r="G93" s="59">
        <f>SUM(G91:G92)</f>
        <v>332.604</v>
      </c>
      <c r="H93" s="59"/>
      <c r="I93" s="59">
        <f>SUM(I91:I92)</f>
        <v>21.468</v>
      </c>
      <c r="J93" s="59"/>
      <c r="K93" s="47">
        <f>SUM(K91:K92)</f>
        <v>285.18468098</v>
      </c>
      <c r="L93" s="47"/>
      <c r="M93" s="47">
        <f>SUM(M91:M92)</f>
        <v>21.13789424</v>
      </c>
      <c r="N93" s="47"/>
      <c r="O93" s="47">
        <f>SUM(O91:O92)</f>
        <v>-47.41931901999999</v>
      </c>
      <c r="P93" s="47"/>
      <c r="Q93" s="47">
        <f>SUM(Q91:Q92)</f>
        <v>-0.3301057599999986</v>
      </c>
      <c r="R93" s="47"/>
      <c r="S93" s="47">
        <f>SUM(S91:S92)</f>
        <v>1.5805030114285714</v>
      </c>
      <c r="T93" s="47">
        <f>SUM(T91:T92)</f>
        <v>0</v>
      </c>
      <c r="U93" s="47">
        <f>SUM(U91:U92)</f>
        <v>-0.35821729714285633</v>
      </c>
      <c r="V93" s="47">
        <f>SUM(V91:V92)</f>
        <v>1.2222857142857153</v>
      </c>
      <c r="W93" s="45"/>
      <c r="X93" s="47">
        <f>SUM(X91:X92)</f>
        <v>0.9219600899999998</v>
      </c>
      <c r="Y93" s="47">
        <f>SUM(Y91:Y92)</f>
        <v>0</v>
      </c>
      <c r="Z93" s="47">
        <f>SUM(Z91:Z92)</f>
        <v>-0.2089600899999995</v>
      </c>
      <c r="AA93" s="47">
        <f>SUM(AA91:AA92)</f>
        <v>0.7130000000000003</v>
      </c>
      <c r="AB93" s="45"/>
      <c r="AC93" s="45"/>
      <c r="AD93" s="45"/>
      <c r="AE93" s="45"/>
      <c r="AF93" s="45"/>
      <c r="AG93" s="45"/>
      <c r="AH93" s="47">
        <f>SUM(AH91:AH92)</f>
        <v>0</v>
      </c>
      <c r="AI93" s="47">
        <f>SUM(AI91:AI92)</f>
        <v>0</v>
      </c>
      <c r="AJ93" s="47">
        <f>SUM(AJ91:AJ92)</f>
        <v>0.260528</v>
      </c>
      <c r="AK93" s="47">
        <f>SUM(AK91:AK92)</f>
        <v>0</v>
      </c>
      <c r="AL93" s="47">
        <f>SUM(AH93:AJ93)</f>
        <v>0.260528</v>
      </c>
    </row>
    <row r="94" spans="1:38" ht="24.75" customHeight="1">
      <c r="A94" s="33" t="s">
        <v>135</v>
      </c>
      <c r="D94" s="120"/>
      <c r="E94" s="120"/>
      <c r="F94" s="28"/>
      <c r="G94" s="28"/>
      <c r="H94" s="28"/>
      <c r="I94" s="28"/>
      <c r="J94" s="28"/>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row>
    <row r="95" spans="3:42" ht="24.75" customHeight="1">
      <c r="C95" s="66" t="s">
        <v>136</v>
      </c>
      <c r="D95" s="120" t="s">
        <v>161</v>
      </c>
      <c r="E95" s="120"/>
      <c r="F95" s="28"/>
      <c r="G95" s="28">
        <v>2.489</v>
      </c>
      <c r="H95" s="28"/>
      <c r="I95" s="28">
        <v>2.489</v>
      </c>
      <c r="J95" s="28"/>
      <c r="K95" s="45">
        <v>2.4823209999999998</v>
      </c>
      <c r="L95" s="45"/>
      <c r="M95" s="45">
        <v>2.4823255300000002</v>
      </c>
      <c r="N95" s="45"/>
      <c r="O95" s="45">
        <f>K95-G95</f>
        <v>-0.0066790000000001015</v>
      </c>
      <c r="P95" s="45"/>
      <c r="Q95" s="45">
        <f>M95-I95</f>
        <v>-0.006674469999999655</v>
      </c>
      <c r="R95" s="45"/>
      <c r="S95" s="45">
        <f aca="true" t="shared" si="26" ref="S95:U98">(X95/7)*12</f>
        <v>0</v>
      </c>
      <c r="T95" s="45">
        <f t="shared" si="26"/>
        <v>0</v>
      </c>
      <c r="U95" s="45">
        <f t="shared" si="26"/>
        <v>-0.44571428571428573</v>
      </c>
      <c r="V95" s="45">
        <f>S95+T95+U95</f>
        <v>-0.44571428571428573</v>
      </c>
      <c r="W95" s="45"/>
      <c r="X95" s="45">
        <v>0</v>
      </c>
      <c r="Y95" s="45">
        <v>0</v>
      </c>
      <c r="Z95" s="45">
        <f>AP95-Y95-X95</f>
        <v>-0.26</v>
      </c>
      <c r="AA95" s="45">
        <f>X95+Y95+Z95</f>
        <v>-0.26</v>
      </c>
      <c r="AB95" s="45"/>
      <c r="AC95" s="45"/>
      <c r="AD95" s="45"/>
      <c r="AE95" s="45"/>
      <c r="AF95" s="45"/>
      <c r="AG95" s="45"/>
      <c r="AH95" s="45">
        <v>0</v>
      </c>
      <c r="AI95" s="45">
        <v>0</v>
      </c>
      <c r="AJ95" s="45">
        <v>0</v>
      </c>
      <c r="AK95" s="45">
        <v>0</v>
      </c>
      <c r="AL95" s="45">
        <f>SUM(AH95:AK95)</f>
        <v>0</v>
      </c>
      <c r="AN95" s="19">
        <f>-0.321</f>
        <v>-0.321</v>
      </c>
      <c r="AO95" s="19">
        <v>-0.061</v>
      </c>
      <c r="AP95" s="19">
        <f>AN95-AO95</f>
        <v>-0.26</v>
      </c>
    </row>
    <row r="96" spans="3:42" ht="24.75" customHeight="1">
      <c r="C96" s="66" t="s">
        <v>137</v>
      </c>
      <c r="D96" s="120" t="s">
        <v>161</v>
      </c>
      <c r="E96" s="120"/>
      <c r="F96" s="28"/>
      <c r="G96" s="28">
        <v>7.831</v>
      </c>
      <c r="H96" s="28"/>
      <c r="I96" s="28">
        <v>6.786</v>
      </c>
      <c r="J96" s="28"/>
      <c r="K96" s="45">
        <v>0.323604</v>
      </c>
      <c r="L96" s="45"/>
      <c r="M96" s="45">
        <v>0</v>
      </c>
      <c r="N96" s="45"/>
      <c r="O96" s="45">
        <f>K96-G96</f>
        <v>-7.507396</v>
      </c>
      <c r="P96" s="45"/>
      <c r="Q96" s="45">
        <f>M96-I96</f>
        <v>-6.786</v>
      </c>
      <c r="R96" s="45"/>
      <c r="S96" s="45">
        <f t="shared" si="26"/>
        <v>0.004068411428571428</v>
      </c>
      <c r="T96" s="45">
        <f t="shared" si="26"/>
        <v>0</v>
      </c>
      <c r="U96" s="45">
        <f t="shared" si="26"/>
        <v>-1.4114969828571429</v>
      </c>
      <c r="V96" s="45">
        <f>S96+T96+U96</f>
        <v>-1.4074285714285715</v>
      </c>
      <c r="W96" s="45"/>
      <c r="X96" s="45">
        <v>0.00237324</v>
      </c>
      <c r="Y96" s="45">
        <v>0</v>
      </c>
      <c r="Z96" s="45">
        <f>AP96-Y96-X96</f>
        <v>-0.82337324</v>
      </c>
      <c r="AA96" s="45">
        <f>X96+Y96+Z96</f>
        <v>-0.821</v>
      </c>
      <c r="AB96" s="45"/>
      <c r="AC96" s="45"/>
      <c r="AD96" s="45"/>
      <c r="AE96" s="45"/>
      <c r="AF96" s="45"/>
      <c r="AG96" s="45"/>
      <c r="AH96" s="45">
        <v>0.3297330700000001</v>
      </c>
      <c r="AI96" s="45">
        <v>0</v>
      </c>
      <c r="AJ96" s="45">
        <v>0.6978393199999999</v>
      </c>
      <c r="AK96" s="45">
        <f>0.381+1.032-0.054-0.041</f>
        <v>1.318</v>
      </c>
      <c r="AL96" s="45">
        <f>SUM(AH96:AK96)</f>
        <v>2.34557239</v>
      </c>
      <c r="AN96" s="19">
        <f>-0.971</f>
        <v>-0.971</v>
      </c>
      <c r="AO96" s="19">
        <f>-0.15</f>
        <v>-0.15</v>
      </c>
      <c r="AP96" s="19">
        <f>AN96-AO96</f>
        <v>-0.821</v>
      </c>
    </row>
    <row r="97" spans="3:42" ht="24.75" customHeight="1">
      <c r="C97" s="66" t="s">
        <v>125</v>
      </c>
      <c r="D97" s="120" t="s">
        <v>161</v>
      </c>
      <c r="E97" s="120"/>
      <c r="F97" s="28"/>
      <c r="G97" s="28">
        <v>10.634</v>
      </c>
      <c r="H97" s="28"/>
      <c r="I97" s="28">
        <v>10.634</v>
      </c>
      <c r="J97" s="28"/>
      <c r="K97" s="45">
        <v>0</v>
      </c>
      <c r="L97" s="45"/>
      <c r="M97" s="45">
        <v>10.60950136</v>
      </c>
      <c r="N97" s="45"/>
      <c r="O97" s="45">
        <f>K97-G97</f>
        <v>-10.634</v>
      </c>
      <c r="P97" s="45"/>
      <c r="Q97" s="45">
        <f>M97-I97</f>
        <v>-0.024498640000000904</v>
      </c>
      <c r="R97" s="45"/>
      <c r="S97" s="45">
        <f t="shared" si="26"/>
        <v>0</v>
      </c>
      <c r="T97" s="45">
        <f t="shared" si="26"/>
        <v>0</v>
      </c>
      <c r="U97" s="45">
        <f t="shared" si="26"/>
        <v>-2.6571428571428575</v>
      </c>
      <c r="V97" s="45">
        <f>S97+T97+U97</f>
        <v>-2.6571428571428575</v>
      </c>
      <c r="W97" s="45"/>
      <c r="X97" s="45">
        <v>0</v>
      </c>
      <c r="Y97" s="45">
        <v>0</v>
      </c>
      <c r="Z97" s="45">
        <f>AP97-Y97-X97</f>
        <v>-1.55</v>
      </c>
      <c r="AA97" s="45">
        <f>X97+Y97+Z97</f>
        <v>-1.55</v>
      </c>
      <c r="AB97" s="45"/>
      <c r="AC97" s="45"/>
      <c r="AD97" s="45"/>
      <c r="AE97" s="45"/>
      <c r="AF97" s="45"/>
      <c r="AG97" s="45"/>
      <c r="AH97" s="45">
        <v>0</v>
      </c>
      <c r="AI97" s="45">
        <v>0</v>
      </c>
      <c r="AJ97" s="45">
        <v>5.076E-05</v>
      </c>
      <c r="AK97" s="45">
        <v>0</v>
      </c>
      <c r="AL97" s="45">
        <f>SUM(AH97:AK97)</f>
        <v>5.076E-05</v>
      </c>
      <c r="AN97" s="19">
        <f>-1.308</f>
        <v>-1.308</v>
      </c>
      <c r="AO97" s="19">
        <f>0.242</f>
        <v>0.242</v>
      </c>
      <c r="AP97" s="19">
        <f>AN97-AO97</f>
        <v>-1.55</v>
      </c>
    </row>
    <row r="98" spans="3:42" ht="24.75" customHeight="1">
      <c r="C98" s="66" t="s">
        <v>138</v>
      </c>
      <c r="D98" s="120" t="s">
        <v>161</v>
      </c>
      <c r="E98" s="120"/>
      <c r="F98" s="28"/>
      <c r="G98" s="28">
        <v>27.834</v>
      </c>
      <c r="H98" s="28"/>
      <c r="I98" s="28">
        <v>27.825</v>
      </c>
      <c r="J98" s="28"/>
      <c r="K98" s="46">
        <v>0</v>
      </c>
      <c r="L98" s="46"/>
      <c r="M98" s="46">
        <v>26.93132447</v>
      </c>
      <c r="N98" s="46"/>
      <c r="O98" s="45">
        <f>K98-G98</f>
        <v>-27.834</v>
      </c>
      <c r="P98" s="45"/>
      <c r="Q98" s="45">
        <f>M98-I98</f>
        <v>-0.8936755299999994</v>
      </c>
      <c r="R98" s="46"/>
      <c r="S98" s="46">
        <f t="shared" si="26"/>
        <v>0</v>
      </c>
      <c r="T98" s="46">
        <f t="shared" si="26"/>
        <v>0</v>
      </c>
      <c r="U98" s="46">
        <f t="shared" si="26"/>
        <v>-9.123428571428573</v>
      </c>
      <c r="V98" s="46">
        <f>S98+T98+U98</f>
        <v>-9.123428571428573</v>
      </c>
      <c r="W98" s="45"/>
      <c r="X98" s="46">
        <v>0</v>
      </c>
      <c r="Y98" s="46">
        <v>0</v>
      </c>
      <c r="Z98" s="46">
        <f>AP98-Y98-X98</f>
        <v>-5.322</v>
      </c>
      <c r="AA98" s="46">
        <f>X98+Y98+Z98</f>
        <v>-5.322</v>
      </c>
      <c r="AB98" s="45"/>
      <c r="AC98" s="45"/>
      <c r="AD98" s="45"/>
      <c r="AE98" s="45"/>
      <c r="AF98" s="45"/>
      <c r="AG98" s="45"/>
      <c r="AH98" s="46">
        <v>0</v>
      </c>
      <c r="AI98" s="46">
        <v>0</v>
      </c>
      <c r="AJ98" s="46">
        <v>0.09076348</v>
      </c>
      <c r="AK98" s="46">
        <v>0</v>
      </c>
      <c r="AL98" s="46">
        <f>SUM(AH98:AK98)</f>
        <v>0.09076348</v>
      </c>
      <c r="AN98" s="19">
        <f>-4.482</f>
        <v>-4.482</v>
      </c>
      <c r="AO98" s="19">
        <v>0.84</v>
      </c>
      <c r="AP98" s="19">
        <f>AN98-AO98</f>
        <v>-5.322</v>
      </c>
    </row>
    <row r="99" spans="3:38" ht="30.75" customHeight="1">
      <c r="C99" s="89" t="s">
        <v>139</v>
      </c>
      <c r="D99" s="125"/>
      <c r="E99" s="125"/>
      <c r="F99" s="36"/>
      <c r="G99" s="58">
        <f>SUM(G95:G98)</f>
        <v>48.788</v>
      </c>
      <c r="H99" s="58"/>
      <c r="I99" s="58">
        <f>SUM(I95:I98)</f>
        <v>47.733999999999995</v>
      </c>
      <c r="J99" s="59"/>
      <c r="K99" s="47">
        <f>SUM(K95:K98)</f>
        <v>2.805925</v>
      </c>
      <c r="L99" s="47"/>
      <c r="M99" s="47">
        <f>SUM(M95:M98)</f>
        <v>40.02315136</v>
      </c>
      <c r="N99" s="47"/>
      <c r="O99" s="58">
        <f>SUM(O95:O98)</f>
        <v>-45.982074999999995</v>
      </c>
      <c r="P99" s="58"/>
      <c r="Q99" s="58">
        <f>SUM(Q94:Q98)</f>
        <v>-7.71084864</v>
      </c>
      <c r="R99" s="47"/>
      <c r="S99" s="47">
        <f>SUM(S95:S98)</f>
        <v>0.004068411428571428</v>
      </c>
      <c r="T99" s="47">
        <f>SUM(T95:T98)</f>
        <v>0</v>
      </c>
      <c r="U99" s="47">
        <f>SUM(U95:U98)</f>
        <v>-13.637782697142859</v>
      </c>
      <c r="V99" s="47">
        <f>SUM(V95:V98)</f>
        <v>-13.633714285714287</v>
      </c>
      <c r="W99" s="45"/>
      <c r="X99" s="47">
        <f>SUM(X95:X98)</f>
        <v>0.00237324</v>
      </c>
      <c r="Y99" s="47">
        <f>SUM(Y95:Y98)</f>
        <v>0</v>
      </c>
      <c r="Z99" s="47">
        <f>SUM(Z95:Z98)</f>
        <v>-7.95537324</v>
      </c>
      <c r="AA99" s="47">
        <f>SUM(AA95:AA98)</f>
        <v>-7.953</v>
      </c>
      <c r="AB99" s="45"/>
      <c r="AC99" s="45"/>
      <c r="AD99" s="45"/>
      <c r="AE99" s="45"/>
      <c r="AF99" s="45"/>
      <c r="AG99" s="45"/>
      <c r="AH99" s="47">
        <f>SUM(AH95:AH98)</f>
        <v>0.3297330700000001</v>
      </c>
      <c r="AI99" s="47">
        <f>SUM(AI95:AI98)</f>
        <v>0</v>
      </c>
      <c r="AJ99" s="47">
        <f>SUM(AJ95:AJ98)</f>
        <v>0.78865356</v>
      </c>
      <c r="AK99" s="47">
        <f>SUM(AK95:AK98)</f>
        <v>1.318</v>
      </c>
      <c r="AL99" s="47">
        <f>SUM(AH99:AJ99)</f>
        <v>1.11838663</v>
      </c>
    </row>
    <row r="100" spans="3:38" ht="3.75" customHeight="1">
      <c r="C100" s="93"/>
      <c r="D100" s="125"/>
      <c r="E100" s="125"/>
      <c r="F100" s="36"/>
      <c r="G100" s="36"/>
      <c r="H100" s="36"/>
      <c r="I100" s="36"/>
      <c r="J100" s="36"/>
      <c r="K100" s="51"/>
      <c r="L100" s="51"/>
      <c r="M100" s="51"/>
      <c r="N100" s="51"/>
      <c r="O100" s="51"/>
      <c r="P100" s="51"/>
      <c r="Q100" s="51"/>
      <c r="R100" s="51"/>
      <c r="S100" s="51"/>
      <c r="T100" s="51"/>
      <c r="U100" s="51"/>
      <c r="V100" s="51"/>
      <c r="W100" s="45"/>
      <c r="X100" s="51"/>
      <c r="Y100" s="51"/>
      <c r="Z100" s="51"/>
      <c r="AA100" s="51"/>
      <c r="AB100" s="45"/>
      <c r="AC100" s="45"/>
      <c r="AD100" s="45"/>
      <c r="AE100" s="45"/>
      <c r="AF100" s="45"/>
      <c r="AG100" s="45"/>
      <c r="AH100" s="46"/>
      <c r="AI100" s="46"/>
      <c r="AJ100" s="46"/>
      <c r="AK100" s="46"/>
      <c r="AL100" s="46">
        <f>SUM(AH100:AJ100)</f>
        <v>0</v>
      </c>
    </row>
    <row r="101" spans="3:38" ht="30.75" customHeight="1" thickBot="1">
      <c r="C101" s="90" t="s">
        <v>140</v>
      </c>
      <c r="D101" s="120"/>
      <c r="E101" s="120"/>
      <c r="F101" s="28"/>
      <c r="G101" s="64">
        <f>G99+G93+G89+G82+G76</f>
        <v>6542.637999999999</v>
      </c>
      <c r="H101" s="60"/>
      <c r="I101" s="64">
        <f>I99+I93+I89+I82+I76</f>
        <v>83.689</v>
      </c>
      <c r="J101" s="60"/>
      <c r="K101" s="115">
        <f>K99+K93+K89+K82+K76</f>
        <v>2276.83845498</v>
      </c>
      <c r="L101" s="115"/>
      <c r="M101" s="115">
        <f>M99+M93+M89+M82+M76</f>
        <v>75.67776887000001</v>
      </c>
      <c r="N101" s="115"/>
      <c r="O101" s="115">
        <f>O99+O93+O89+O82+O76</f>
        <v>-4265.79954502</v>
      </c>
      <c r="P101" s="115"/>
      <c r="Q101" s="115">
        <f>Q99+Q93+Q89+Q82+Q76</f>
        <v>-8.011231129999999</v>
      </c>
      <c r="R101" s="115"/>
      <c r="S101" s="115">
        <f>S99+S93+S89+S82+S76</f>
        <v>17.665044377142856</v>
      </c>
      <c r="T101" s="115">
        <f>T99+T93+T89+T82+T76</f>
        <v>0</v>
      </c>
      <c r="U101" s="115">
        <f>U99+U93+U89+U82+U76</f>
        <v>-22.072472948571434</v>
      </c>
      <c r="V101" s="115">
        <f>V99+V93+V89+V82+V76</f>
        <v>-4.407428571428573</v>
      </c>
      <c r="W101" s="116"/>
      <c r="X101" s="115">
        <f>X99+X93+X89+X82+X76</f>
        <v>10.30460922</v>
      </c>
      <c r="Y101" s="115">
        <f>Y99+Y93+Y89+Y82+Y76</f>
        <v>0</v>
      </c>
      <c r="Z101" s="115">
        <f>Z99+Z93+Z89+Z82+Z76</f>
        <v>-12.875609220000001</v>
      </c>
      <c r="AA101" s="115">
        <f>AA99+AA93+AA89+AA82+AA76</f>
        <v>-2.5710000000000006</v>
      </c>
      <c r="AB101" s="116"/>
      <c r="AC101" s="116"/>
      <c r="AD101" s="116"/>
      <c r="AE101" s="116"/>
      <c r="AF101" s="116"/>
      <c r="AG101" s="116"/>
      <c r="AH101" s="115">
        <f>AH99+AH93+AH89+AH82+AH76</f>
        <v>1.7272460600000001</v>
      </c>
      <c r="AI101" s="115">
        <f>AI99+AI93+AI89+AI82+AI76</f>
        <v>0</v>
      </c>
      <c r="AJ101" s="115">
        <f>AJ99+AJ93+AJ89+AJ82+AJ76</f>
        <v>7.758070019999999</v>
      </c>
      <c r="AK101" s="115">
        <f>AK99+AK93+AK89+AK82+AK76</f>
        <v>8.006</v>
      </c>
      <c r="AL101" s="115">
        <f>SUM(AH101:AJ101)</f>
        <v>9.485316079999999</v>
      </c>
    </row>
    <row r="102" spans="4:38" ht="12" customHeight="1" hidden="1" thickTop="1">
      <c r="D102" s="120"/>
      <c r="E102" s="120"/>
      <c r="F102" s="28"/>
      <c r="G102" s="28"/>
      <c r="H102" s="28"/>
      <c r="I102" s="28"/>
      <c r="J102" s="28"/>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row>
    <row r="103" spans="1:38" ht="24.75" customHeight="1" thickTop="1">
      <c r="A103" s="130" t="s">
        <v>29</v>
      </c>
      <c r="C103" s="88"/>
      <c r="D103" s="121"/>
      <c r="E103" s="121"/>
      <c r="F103" s="32"/>
      <c r="G103" s="32"/>
      <c r="H103" s="32"/>
      <c r="I103" s="32"/>
      <c r="J103" s="32"/>
      <c r="K103" s="49"/>
      <c r="L103" s="49"/>
      <c r="M103" s="49"/>
      <c r="N103" s="49"/>
      <c r="O103" s="49"/>
      <c r="P103" s="49"/>
      <c r="Q103" s="49"/>
      <c r="R103" s="49"/>
      <c r="S103" s="49"/>
      <c r="T103" s="49"/>
      <c r="U103" s="49"/>
      <c r="V103" s="49"/>
      <c r="W103" s="50"/>
      <c r="X103" s="49"/>
      <c r="Y103" s="49"/>
      <c r="Z103" s="49"/>
      <c r="AA103" s="49"/>
      <c r="AB103" s="49"/>
      <c r="AC103" s="49"/>
      <c r="AD103" s="49"/>
      <c r="AE103" s="49"/>
      <c r="AF103" s="49"/>
      <c r="AG103" s="49"/>
      <c r="AH103" s="49"/>
      <c r="AI103" s="49"/>
      <c r="AJ103" s="49"/>
      <c r="AK103" s="49"/>
      <c r="AL103" s="49"/>
    </row>
    <row r="104" spans="1:38" s="74" customFormat="1" ht="60">
      <c r="A104" s="85" t="s">
        <v>142</v>
      </c>
      <c r="C104" s="78"/>
      <c r="D104" s="129"/>
      <c r="E104" s="133" t="s">
        <v>286</v>
      </c>
      <c r="F104" s="75" t="s">
        <v>271</v>
      </c>
      <c r="G104" s="76"/>
      <c r="H104" s="76"/>
      <c r="I104" s="76"/>
      <c r="J104" s="76"/>
      <c r="K104" s="77"/>
      <c r="L104" s="77"/>
      <c r="M104" s="77"/>
      <c r="N104" s="77"/>
      <c r="O104" s="77"/>
      <c r="P104" s="77"/>
      <c r="Q104" s="77"/>
      <c r="R104" s="77"/>
      <c r="S104" s="77"/>
      <c r="T104" s="77"/>
      <c r="U104" s="77"/>
      <c r="V104" s="77"/>
      <c r="W104" s="77"/>
      <c r="X104" s="77"/>
      <c r="Y104" s="77"/>
      <c r="Z104" s="77"/>
      <c r="AA104" s="77"/>
      <c r="AB104" s="77"/>
      <c r="AC104" s="77"/>
      <c r="AD104" s="77"/>
      <c r="AE104" s="77"/>
      <c r="AF104" s="77"/>
      <c r="AG104" s="77"/>
      <c r="AH104" s="77"/>
      <c r="AI104" s="77"/>
      <c r="AJ104" s="77"/>
      <c r="AK104" s="77"/>
      <c r="AL104" s="77"/>
    </row>
    <row r="105" spans="3:42" ht="24.75" customHeight="1">
      <c r="C105" s="66" t="s">
        <v>143</v>
      </c>
      <c r="D105" s="120" t="s">
        <v>160</v>
      </c>
      <c r="F105" s="28"/>
      <c r="G105" s="28">
        <v>1562.435</v>
      </c>
      <c r="H105" s="28"/>
      <c r="I105" s="28">
        <v>6.491</v>
      </c>
      <c r="J105" s="28"/>
      <c r="K105" s="45">
        <v>1555.80373</v>
      </c>
      <c r="L105" s="45"/>
      <c r="M105" s="45">
        <v>4.7135313100000005</v>
      </c>
      <c r="N105" s="45"/>
      <c r="O105" s="45">
        <f>K105-G105</f>
        <v>-6.6312699999998586</v>
      </c>
      <c r="P105" s="45"/>
      <c r="Q105" s="45">
        <f>M105-I105</f>
        <v>-1.7774686899999992</v>
      </c>
      <c r="R105" s="45"/>
      <c r="S105" s="45">
        <f aca="true" t="shared" si="27" ref="S105:U107">(X105/7)*12</f>
        <v>3.920191902857143</v>
      </c>
      <c r="T105" s="45">
        <f t="shared" si="27"/>
        <v>-9.429829285714286</v>
      </c>
      <c r="U105" s="45">
        <f t="shared" si="27"/>
        <v>-3.948076902857142</v>
      </c>
      <c r="V105" s="45">
        <f>S105+T105+U105</f>
        <v>-9.457714285714285</v>
      </c>
      <c r="W105" s="45"/>
      <c r="X105" s="45">
        <v>2.2867786100000003</v>
      </c>
      <c r="Y105" s="45">
        <v>-5.50073375</v>
      </c>
      <c r="Z105" s="45">
        <f>AP105-Y105-X105</f>
        <v>-2.3030448599999995</v>
      </c>
      <c r="AA105" s="45">
        <f>X105+Y105+Z105</f>
        <v>-5.5169999999999995</v>
      </c>
      <c r="AB105" s="45"/>
      <c r="AC105" s="45"/>
      <c r="AD105" s="45"/>
      <c r="AE105" s="45"/>
      <c r="AF105" s="45"/>
      <c r="AG105" s="45"/>
      <c r="AH105" s="45">
        <v>0.6730902000000001</v>
      </c>
      <c r="AI105" s="45">
        <v>0</v>
      </c>
      <c r="AJ105" s="45">
        <v>0.48845609</v>
      </c>
      <c r="AK105" s="45">
        <f>0.61+1.702-0.086-0.068</f>
        <v>2.158</v>
      </c>
      <c r="AL105" s="45">
        <f>SUM(AH105:AK105)</f>
        <v>3.31954629</v>
      </c>
      <c r="AN105" s="19">
        <f>-5.026</f>
        <v>-5.026</v>
      </c>
      <c r="AO105" s="19">
        <f>0.491</f>
        <v>0.491</v>
      </c>
      <c r="AP105" s="19">
        <f>AN105-AO105</f>
        <v>-5.5169999999999995</v>
      </c>
    </row>
    <row r="106" spans="3:42" ht="24.75" customHeight="1">
      <c r="C106" s="66" t="s">
        <v>132</v>
      </c>
      <c r="D106" s="120" t="s">
        <v>161</v>
      </c>
      <c r="E106" s="120"/>
      <c r="F106" s="28"/>
      <c r="G106" s="28">
        <v>166.009</v>
      </c>
      <c r="H106" s="28"/>
      <c r="I106" s="28">
        <v>0</v>
      </c>
      <c r="J106" s="28"/>
      <c r="K106" s="45">
        <v>166.865593</v>
      </c>
      <c r="L106" s="45"/>
      <c r="M106" s="45">
        <v>0</v>
      </c>
      <c r="N106" s="45"/>
      <c r="O106" s="45">
        <f>K106-G106</f>
        <v>0.8565930000000037</v>
      </c>
      <c r="P106" s="45"/>
      <c r="Q106" s="45">
        <f>M106-I106</f>
        <v>0</v>
      </c>
      <c r="R106" s="45"/>
      <c r="S106" s="45">
        <f t="shared" si="27"/>
        <v>0.8144327142857144</v>
      </c>
      <c r="T106" s="45">
        <f t="shared" si="27"/>
        <v>0</v>
      </c>
      <c r="U106" s="45">
        <f t="shared" si="27"/>
        <v>-0.00014700000000008754</v>
      </c>
      <c r="V106" s="45">
        <f>S106+T106+U106</f>
        <v>0.8142857142857143</v>
      </c>
      <c r="W106" s="45"/>
      <c r="X106" s="45">
        <v>0.4750857500000001</v>
      </c>
      <c r="Y106" s="45">
        <v>0</v>
      </c>
      <c r="Z106" s="45">
        <f>AP106-Y106-X106</f>
        <v>-8.575000000005106E-05</v>
      </c>
      <c r="AA106" s="45">
        <f>X106+Y106+Z106</f>
        <v>0.47500000000000003</v>
      </c>
      <c r="AB106" s="45"/>
      <c r="AC106" s="45"/>
      <c r="AD106" s="45"/>
      <c r="AE106" s="45"/>
      <c r="AF106" s="45"/>
      <c r="AG106" s="45"/>
      <c r="AH106" s="45">
        <v>0</v>
      </c>
      <c r="AI106" s="45">
        <v>0</v>
      </c>
      <c r="AJ106" s="45">
        <v>3.900000000000001E-07</v>
      </c>
      <c r="AK106" s="45">
        <v>0</v>
      </c>
      <c r="AL106" s="45">
        <f>SUM(AH106:AK106)</f>
        <v>3.900000000000001E-07</v>
      </c>
      <c r="AN106" s="19">
        <f>0.549</f>
        <v>0.549</v>
      </c>
      <c r="AO106" s="19">
        <v>0.074</v>
      </c>
      <c r="AP106" s="19">
        <f>AN106-AO106</f>
        <v>0.47500000000000003</v>
      </c>
    </row>
    <row r="107" spans="3:42" ht="24.75" customHeight="1">
      <c r="C107" s="66" t="s">
        <v>144</v>
      </c>
      <c r="D107" s="120" t="s">
        <v>161</v>
      </c>
      <c r="E107" s="120"/>
      <c r="F107" s="28"/>
      <c r="G107" s="28">
        <v>0</v>
      </c>
      <c r="H107" s="28"/>
      <c r="I107" s="28">
        <v>0.024</v>
      </c>
      <c r="J107" s="28"/>
      <c r="K107" s="46">
        <v>0</v>
      </c>
      <c r="L107" s="46"/>
      <c r="M107" s="46">
        <v>0</v>
      </c>
      <c r="N107" s="46"/>
      <c r="O107" s="45">
        <f>K107-G107</f>
        <v>0</v>
      </c>
      <c r="P107" s="45"/>
      <c r="Q107" s="45">
        <f>M107-I107</f>
        <v>-0.024</v>
      </c>
      <c r="R107" s="46"/>
      <c r="S107" s="46">
        <f t="shared" si="27"/>
        <v>0</v>
      </c>
      <c r="T107" s="46">
        <f t="shared" si="27"/>
        <v>0</v>
      </c>
      <c r="U107" s="46">
        <f t="shared" si="27"/>
        <v>0</v>
      </c>
      <c r="V107" s="46">
        <f>S107+T107+U107</f>
        <v>0</v>
      </c>
      <c r="W107" s="45"/>
      <c r="X107" s="46">
        <v>0</v>
      </c>
      <c r="Y107" s="46">
        <v>0</v>
      </c>
      <c r="Z107" s="46">
        <f>AP107-Y107-X107</f>
        <v>0</v>
      </c>
      <c r="AA107" s="46">
        <f>X107+Y107+Z107</f>
        <v>0</v>
      </c>
      <c r="AB107" s="45"/>
      <c r="AC107" s="45"/>
      <c r="AD107" s="45"/>
      <c r="AE107" s="45"/>
      <c r="AF107" s="45"/>
      <c r="AG107" s="45"/>
      <c r="AH107" s="46">
        <v>0</v>
      </c>
      <c r="AI107" s="46">
        <v>0</v>
      </c>
      <c r="AJ107" s="46">
        <v>-0.005876999999999993</v>
      </c>
      <c r="AK107" s="46">
        <v>0</v>
      </c>
      <c r="AL107" s="46">
        <f>SUM(AH107:AK107)</f>
        <v>-0.005876999999999993</v>
      </c>
      <c r="AN107" s="19">
        <v>0</v>
      </c>
      <c r="AO107" s="19">
        <v>0</v>
      </c>
      <c r="AP107" s="19">
        <f>AN107-AO107</f>
        <v>0</v>
      </c>
    </row>
    <row r="108" spans="3:38" ht="24.75" customHeight="1">
      <c r="C108" s="89" t="s">
        <v>145</v>
      </c>
      <c r="D108" s="125"/>
      <c r="E108" s="125"/>
      <c r="F108" s="36"/>
      <c r="G108" s="59">
        <f>SUM(G105:G107)</f>
        <v>1728.444</v>
      </c>
      <c r="H108" s="59"/>
      <c r="I108" s="59">
        <f>SUM(I105:I107)</f>
        <v>6.515</v>
      </c>
      <c r="J108" s="59"/>
      <c r="K108" s="47">
        <f>SUM(K105:K107)</f>
        <v>1722.669323</v>
      </c>
      <c r="L108" s="47"/>
      <c r="M108" s="47">
        <f>SUM(M105:M107)</f>
        <v>4.7135313100000005</v>
      </c>
      <c r="N108" s="47"/>
      <c r="O108" s="58">
        <f>SUM(O105:O107)</f>
        <v>-5.774676999999855</v>
      </c>
      <c r="P108" s="58"/>
      <c r="Q108" s="58">
        <f>SUM(Q105:Q107)</f>
        <v>-1.8014686899999992</v>
      </c>
      <c r="R108" s="47"/>
      <c r="S108" s="47">
        <f>SUM(S105:S107)</f>
        <v>4.734624617142857</v>
      </c>
      <c r="T108" s="47">
        <f>SUM(T105:T107)</f>
        <v>-9.429829285714286</v>
      </c>
      <c r="U108" s="47">
        <f>SUM(U105:U107)</f>
        <v>-3.948223902857142</v>
      </c>
      <c r="V108" s="47">
        <f>SUM(V105:V107)</f>
        <v>-8.64342857142857</v>
      </c>
      <c r="W108" s="45"/>
      <c r="X108" s="47">
        <f>SUM(X105:X107)</f>
        <v>2.7618643600000006</v>
      </c>
      <c r="Y108" s="47">
        <f>SUM(Y105:Y107)</f>
        <v>-5.50073375</v>
      </c>
      <c r="Z108" s="47">
        <f>SUM(Z105:Z107)</f>
        <v>-2.3031306099999997</v>
      </c>
      <c r="AA108" s="47">
        <f>SUM(AA105:AA107)</f>
        <v>-5.042</v>
      </c>
      <c r="AB108" s="45"/>
      <c r="AC108" s="45"/>
      <c r="AD108" s="45"/>
      <c r="AE108" s="45"/>
      <c r="AF108" s="45"/>
      <c r="AG108" s="45"/>
      <c r="AH108" s="47">
        <f>SUM(AH105:AH107)</f>
        <v>0.6730902000000001</v>
      </c>
      <c r="AI108" s="47">
        <f>SUM(AI105:AI107)</f>
        <v>0</v>
      </c>
      <c r="AJ108" s="47">
        <f>SUM(AJ105:AJ107)</f>
        <v>0.48257948000000006</v>
      </c>
      <c r="AK108" s="47">
        <f>SUM(AK105:AK107)</f>
        <v>2.158</v>
      </c>
      <c r="AL108" s="47">
        <f>SUM(AH108:AK108)</f>
        <v>3.3136696800000003</v>
      </c>
    </row>
    <row r="109" spans="1:38" s="74" customFormat="1" ht="60">
      <c r="A109" s="85" t="s">
        <v>137</v>
      </c>
      <c r="C109" s="78"/>
      <c r="D109" s="129"/>
      <c r="E109" s="129"/>
      <c r="F109" s="75" t="s">
        <v>272</v>
      </c>
      <c r="G109" s="76"/>
      <c r="H109" s="76"/>
      <c r="I109" s="76"/>
      <c r="J109" s="76"/>
      <c r="K109" s="77"/>
      <c r="L109" s="77"/>
      <c r="M109" s="77"/>
      <c r="N109" s="77"/>
      <c r="O109" s="77"/>
      <c r="P109" s="77"/>
      <c r="Q109" s="77"/>
      <c r="R109" s="77"/>
      <c r="S109" s="77"/>
      <c r="T109" s="77"/>
      <c r="U109" s="77"/>
      <c r="V109" s="77"/>
      <c r="W109" s="77"/>
      <c r="X109" s="77"/>
      <c r="Y109" s="77"/>
      <c r="Z109" s="77"/>
      <c r="AA109" s="77"/>
      <c r="AB109" s="77"/>
      <c r="AC109" s="77"/>
      <c r="AD109" s="77"/>
      <c r="AE109" s="77"/>
      <c r="AF109" s="77"/>
      <c r="AG109" s="77"/>
      <c r="AH109" s="77"/>
      <c r="AI109" s="77"/>
      <c r="AJ109" s="77"/>
      <c r="AK109" s="77"/>
      <c r="AL109" s="77"/>
    </row>
    <row r="110" spans="3:42" ht="24.75" customHeight="1">
      <c r="C110" s="66" t="s">
        <v>137</v>
      </c>
      <c r="D110" s="120" t="s">
        <v>159</v>
      </c>
      <c r="E110" s="120"/>
      <c r="F110" s="28"/>
      <c r="G110" s="28">
        <v>3266.469</v>
      </c>
      <c r="H110" s="28"/>
      <c r="I110" s="28">
        <v>10.882</v>
      </c>
      <c r="J110" s="28"/>
      <c r="K110" s="45">
        <v>722.342458</v>
      </c>
      <c r="L110" s="45"/>
      <c r="M110" s="45">
        <v>0</v>
      </c>
      <c r="N110" s="45"/>
      <c r="O110" s="45">
        <f aca="true" t="shared" si="28" ref="O110:O115">K110-G110</f>
        <v>-2544.126542</v>
      </c>
      <c r="P110" s="45"/>
      <c r="Q110" s="45">
        <f aca="true" t="shared" si="29" ref="Q110:Q115">M110-I110</f>
        <v>-10.882</v>
      </c>
      <c r="R110" s="45"/>
      <c r="S110" s="45">
        <f aca="true" t="shared" si="30" ref="S110:U115">(X110/7)*12</f>
        <v>4.418966434285714</v>
      </c>
      <c r="T110" s="45">
        <f t="shared" si="30"/>
        <v>0</v>
      </c>
      <c r="U110" s="45">
        <f t="shared" si="30"/>
        <v>0.14617642285714336</v>
      </c>
      <c r="V110" s="45">
        <f aca="true" t="shared" si="31" ref="V110:V115">S110+T110+U110</f>
        <v>4.565142857142858</v>
      </c>
      <c r="W110" s="45"/>
      <c r="X110" s="45">
        <v>2.57773042</v>
      </c>
      <c r="Y110" s="45">
        <v>0</v>
      </c>
      <c r="Z110" s="45">
        <f aca="true" t="shared" si="32" ref="Z110:Z115">AP110-Y110-X110</f>
        <v>0.08526958000000029</v>
      </c>
      <c r="AA110" s="45">
        <f aca="true" t="shared" si="33" ref="AA110:AA115">X110+Y110+Z110</f>
        <v>2.6630000000000003</v>
      </c>
      <c r="AB110" s="45"/>
      <c r="AC110" s="45"/>
      <c r="AD110" s="45"/>
      <c r="AE110" s="45"/>
      <c r="AF110" s="45"/>
      <c r="AG110" s="45"/>
      <c r="AH110" s="45">
        <v>1.47386707</v>
      </c>
      <c r="AI110" s="45">
        <v>0</v>
      </c>
      <c r="AJ110" s="45">
        <v>1.45054649</v>
      </c>
      <c r="AK110" s="45">
        <f>1.448+4.023-0.205-0.161</f>
        <v>5.105</v>
      </c>
      <c r="AL110" s="45">
        <f aca="true" t="shared" si="34" ref="AL110:AL115">SUM(AH110:AK110)</f>
        <v>8.02941356</v>
      </c>
      <c r="AN110" s="19">
        <v>3.345</v>
      </c>
      <c r="AO110" s="19">
        <v>0.682</v>
      </c>
      <c r="AP110" s="19">
        <f aca="true" t="shared" si="35" ref="AP110:AP115">AN110-AO110</f>
        <v>2.6630000000000003</v>
      </c>
    </row>
    <row r="111" spans="3:42" ht="24.75" customHeight="1">
      <c r="C111" s="66" t="s">
        <v>146</v>
      </c>
      <c r="D111" s="120" t="s">
        <v>159</v>
      </c>
      <c r="E111" s="120"/>
      <c r="F111" s="28"/>
      <c r="G111" s="28">
        <v>19.757</v>
      </c>
      <c r="H111" s="28"/>
      <c r="I111" s="28">
        <v>19.757</v>
      </c>
      <c r="J111" s="28"/>
      <c r="K111" s="45">
        <v>0</v>
      </c>
      <c r="L111" s="45"/>
      <c r="M111" s="45">
        <v>0</v>
      </c>
      <c r="N111" s="45"/>
      <c r="O111" s="45">
        <f t="shared" si="28"/>
        <v>-19.757</v>
      </c>
      <c r="P111" s="45"/>
      <c r="Q111" s="45">
        <f t="shared" si="29"/>
        <v>-19.757</v>
      </c>
      <c r="R111" s="45"/>
      <c r="S111" s="45">
        <f t="shared" si="30"/>
        <v>0</v>
      </c>
      <c r="T111" s="45">
        <f t="shared" si="30"/>
        <v>0</v>
      </c>
      <c r="U111" s="45">
        <f t="shared" si="30"/>
        <v>-0.66</v>
      </c>
      <c r="V111" s="45">
        <f t="shared" si="31"/>
        <v>-0.66</v>
      </c>
      <c r="W111" s="45"/>
      <c r="X111" s="45">
        <v>0</v>
      </c>
      <c r="Y111" s="45">
        <v>0</v>
      </c>
      <c r="Z111" s="45">
        <f t="shared" si="32"/>
        <v>-0.385</v>
      </c>
      <c r="AA111" s="45">
        <f t="shared" si="33"/>
        <v>-0.385</v>
      </c>
      <c r="AB111" s="45"/>
      <c r="AC111" s="45"/>
      <c r="AD111" s="45"/>
      <c r="AE111" s="45"/>
      <c r="AF111" s="45"/>
      <c r="AG111" s="45"/>
      <c r="AH111" s="45">
        <v>0</v>
      </c>
      <c r="AI111" s="45">
        <v>0</v>
      </c>
      <c r="AJ111" s="45">
        <v>0</v>
      </c>
      <c r="AK111" s="45">
        <v>0</v>
      </c>
      <c r="AL111" s="45">
        <f t="shared" si="34"/>
        <v>0</v>
      </c>
      <c r="AN111" s="19">
        <f>-0.267</f>
        <v>-0.267</v>
      </c>
      <c r="AO111" s="19">
        <v>0.118</v>
      </c>
      <c r="AP111" s="19">
        <f t="shared" si="35"/>
        <v>-0.385</v>
      </c>
    </row>
    <row r="112" spans="3:42" ht="24.75" customHeight="1">
      <c r="C112" s="66" t="s">
        <v>147</v>
      </c>
      <c r="D112" s="120" t="s">
        <v>159</v>
      </c>
      <c r="E112" s="120"/>
      <c r="F112" s="28"/>
      <c r="G112" s="28">
        <v>546.646</v>
      </c>
      <c r="H112" s="28"/>
      <c r="I112" s="28">
        <v>0</v>
      </c>
      <c r="J112" s="28"/>
      <c r="K112" s="45">
        <v>52.847164</v>
      </c>
      <c r="L112" s="45"/>
      <c r="M112" s="45">
        <v>0</v>
      </c>
      <c r="N112" s="45"/>
      <c r="O112" s="45">
        <f t="shared" si="28"/>
        <v>-493.79883599999994</v>
      </c>
      <c r="P112" s="45"/>
      <c r="Q112" s="45">
        <f t="shared" si="29"/>
        <v>0</v>
      </c>
      <c r="R112" s="45"/>
      <c r="S112" s="45">
        <f t="shared" si="30"/>
        <v>0.2769097371428571</v>
      </c>
      <c r="T112" s="45">
        <f t="shared" si="30"/>
        <v>0</v>
      </c>
      <c r="U112" s="45">
        <f t="shared" si="30"/>
        <v>-0.05576687999999996</v>
      </c>
      <c r="V112" s="45">
        <f t="shared" si="31"/>
        <v>0.22114285714285714</v>
      </c>
      <c r="W112" s="45"/>
      <c r="X112" s="45">
        <v>0.16153067999999998</v>
      </c>
      <c r="Y112" s="45">
        <v>0</v>
      </c>
      <c r="Z112" s="45">
        <f t="shared" si="32"/>
        <v>-0.03253067999999998</v>
      </c>
      <c r="AA112" s="45">
        <f t="shared" si="33"/>
        <v>0.129</v>
      </c>
      <c r="AB112" s="45"/>
      <c r="AC112" s="45"/>
      <c r="AD112" s="45"/>
      <c r="AE112" s="45"/>
      <c r="AF112" s="45"/>
      <c r="AG112" s="45"/>
      <c r="AH112" s="45">
        <v>0</v>
      </c>
      <c r="AI112" s="45">
        <v>0</v>
      </c>
      <c r="AJ112" s="45">
        <v>0.02164881</v>
      </c>
      <c r="AK112" s="45">
        <v>0</v>
      </c>
      <c r="AL112" s="45">
        <f t="shared" si="34"/>
        <v>0.02164881</v>
      </c>
      <c r="AN112" s="19">
        <v>0.188</v>
      </c>
      <c r="AO112" s="19">
        <v>0.059</v>
      </c>
      <c r="AP112" s="19">
        <f t="shared" si="35"/>
        <v>0.129</v>
      </c>
    </row>
    <row r="113" spans="3:42" ht="24.75" customHeight="1">
      <c r="C113" s="66" t="s">
        <v>148</v>
      </c>
      <c r="D113" s="120" t="s">
        <v>159</v>
      </c>
      <c r="E113" s="120"/>
      <c r="F113" s="28"/>
      <c r="G113" s="28">
        <v>33.012</v>
      </c>
      <c r="H113" s="28"/>
      <c r="I113" s="28">
        <v>0</v>
      </c>
      <c r="J113" s="28"/>
      <c r="K113" s="45">
        <v>0</v>
      </c>
      <c r="L113" s="45"/>
      <c r="M113" s="45">
        <v>0</v>
      </c>
      <c r="N113" s="45"/>
      <c r="O113" s="45">
        <f t="shared" si="28"/>
        <v>-33.012</v>
      </c>
      <c r="P113" s="45"/>
      <c r="Q113" s="45">
        <f t="shared" si="29"/>
        <v>0</v>
      </c>
      <c r="R113" s="45"/>
      <c r="S113" s="45">
        <f t="shared" si="30"/>
        <v>0.08163243428571428</v>
      </c>
      <c r="T113" s="45">
        <f t="shared" si="30"/>
        <v>0</v>
      </c>
      <c r="U113" s="45">
        <f t="shared" si="30"/>
        <v>-0.011346720000000001</v>
      </c>
      <c r="V113" s="45">
        <f t="shared" si="31"/>
        <v>0.07028571428571427</v>
      </c>
      <c r="W113" s="45"/>
      <c r="X113" s="45">
        <v>0.047618919999999995</v>
      </c>
      <c r="Y113" s="45">
        <v>0</v>
      </c>
      <c r="Z113" s="45">
        <f t="shared" si="32"/>
        <v>-0.00661892</v>
      </c>
      <c r="AA113" s="45">
        <f t="shared" si="33"/>
        <v>0.040999999999999995</v>
      </c>
      <c r="AB113" s="45"/>
      <c r="AC113" s="45"/>
      <c r="AD113" s="45"/>
      <c r="AE113" s="45"/>
      <c r="AF113" s="45"/>
      <c r="AG113" s="45"/>
      <c r="AH113" s="45">
        <v>0</v>
      </c>
      <c r="AI113" s="45">
        <v>0</v>
      </c>
      <c r="AJ113" s="45">
        <v>0</v>
      </c>
      <c r="AK113" s="45">
        <v>0</v>
      </c>
      <c r="AL113" s="45">
        <f t="shared" si="34"/>
        <v>0</v>
      </c>
      <c r="AN113" s="19">
        <v>0.051</v>
      </c>
      <c r="AO113" s="19">
        <v>0.01</v>
      </c>
      <c r="AP113" s="19">
        <f t="shared" si="35"/>
        <v>0.040999999999999995</v>
      </c>
    </row>
    <row r="114" spans="3:42" ht="24.75" customHeight="1">
      <c r="C114" s="66" t="s">
        <v>149</v>
      </c>
      <c r="D114" s="120" t="s">
        <v>159</v>
      </c>
      <c r="E114" s="120"/>
      <c r="F114" s="28"/>
      <c r="G114" s="28">
        <v>32.818</v>
      </c>
      <c r="H114" s="28"/>
      <c r="I114" s="28">
        <v>0</v>
      </c>
      <c r="J114" s="28"/>
      <c r="K114" s="45">
        <v>29.247954</v>
      </c>
      <c r="L114" s="45"/>
      <c r="M114" s="45">
        <v>0</v>
      </c>
      <c r="N114" s="45"/>
      <c r="O114" s="45">
        <f t="shared" si="28"/>
        <v>-3.570045999999998</v>
      </c>
      <c r="P114" s="45"/>
      <c r="Q114" s="45">
        <f t="shared" si="29"/>
        <v>0</v>
      </c>
      <c r="R114" s="45"/>
      <c r="S114" s="45">
        <f t="shared" si="30"/>
        <v>0.022027405714285714</v>
      </c>
      <c r="T114" s="45">
        <f t="shared" si="30"/>
        <v>0</v>
      </c>
      <c r="U114" s="45">
        <f t="shared" si="30"/>
        <v>0.00025830857142857184</v>
      </c>
      <c r="V114" s="45">
        <f t="shared" si="31"/>
        <v>0.022285714285714287</v>
      </c>
      <c r="W114" s="45"/>
      <c r="X114" s="45">
        <v>0.012849320000000001</v>
      </c>
      <c r="Y114" s="45">
        <v>0</v>
      </c>
      <c r="Z114" s="45">
        <f t="shared" si="32"/>
        <v>0.00015068000000000026</v>
      </c>
      <c r="AA114" s="45">
        <f t="shared" si="33"/>
        <v>0.013000000000000001</v>
      </c>
      <c r="AB114" s="45"/>
      <c r="AC114" s="45"/>
      <c r="AD114" s="45"/>
      <c r="AE114" s="45"/>
      <c r="AF114" s="45"/>
      <c r="AG114" s="45"/>
      <c r="AH114" s="45">
        <v>0</v>
      </c>
      <c r="AI114" s="45">
        <v>0</v>
      </c>
      <c r="AJ114" s="45">
        <v>0</v>
      </c>
      <c r="AK114" s="45">
        <v>0</v>
      </c>
      <c r="AL114" s="45">
        <f t="shared" si="34"/>
        <v>0</v>
      </c>
      <c r="AN114" s="19">
        <v>0.016</v>
      </c>
      <c r="AO114" s="19">
        <v>0.003</v>
      </c>
      <c r="AP114" s="19">
        <f t="shared" si="35"/>
        <v>0.013000000000000001</v>
      </c>
    </row>
    <row r="115" spans="3:42" ht="24.75" customHeight="1">
      <c r="C115" s="66" t="s">
        <v>150</v>
      </c>
      <c r="D115" s="120" t="s">
        <v>161</v>
      </c>
      <c r="E115" s="120"/>
      <c r="F115" s="28"/>
      <c r="G115" s="28">
        <v>138.013</v>
      </c>
      <c r="H115" s="28"/>
      <c r="I115" s="28">
        <v>0</v>
      </c>
      <c r="J115" s="28"/>
      <c r="K115" s="46">
        <v>132.42454374</v>
      </c>
      <c r="L115" s="46"/>
      <c r="M115" s="46">
        <v>0</v>
      </c>
      <c r="N115" s="46"/>
      <c r="O115" s="46">
        <f t="shared" si="28"/>
        <v>-5.588456260000015</v>
      </c>
      <c r="P115" s="46"/>
      <c r="Q115" s="46">
        <f t="shared" si="29"/>
        <v>0</v>
      </c>
      <c r="R115" s="46"/>
      <c r="S115" s="46">
        <f t="shared" si="30"/>
        <v>0.6985074</v>
      </c>
      <c r="T115" s="46">
        <f t="shared" si="30"/>
        <v>0</v>
      </c>
      <c r="U115" s="46">
        <f t="shared" si="30"/>
        <v>-0.1705074000000001</v>
      </c>
      <c r="V115" s="46">
        <f t="shared" si="31"/>
        <v>0.5279999999999999</v>
      </c>
      <c r="W115" s="45"/>
      <c r="X115" s="46">
        <v>0.40746265000000004</v>
      </c>
      <c r="Y115" s="46">
        <v>0</v>
      </c>
      <c r="Z115" s="46">
        <f t="shared" si="32"/>
        <v>-0.09946265000000004</v>
      </c>
      <c r="AA115" s="46">
        <f t="shared" si="33"/>
        <v>0.308</v>
      </c>
      <c r="AB115" s="45"/>
      <c r="AC115" s="45"/>
      <c r="AD115" s="45"/>
      <c r="AE115" s="45"/>
      <c r="AF115" s="45"/>
      <c r="AG115" s="45"/>
      <c r="AH115" s="46">
        <v>0.10869568999999998</v>
      </c>
      <c r="AI115" s="46">
        <v>0</v>
      </c>
      <c r="AJ115" s="46">
        <v>0.41533187000000005</v>
      </c>
      <c r="AK115" s="46">
        <f>0.076+0.206-0.011-0.008</f>
        <v>0.26299999999999996</v>
      </c>
      <c r="AL115" s="46">
        <f t="shared" si="34"/>
        <v>0.7870275600000001</v>
      </c>
      <c r="AN115" s="19">
        <v>0.357</v>
      </c>
      <c r="AO115" s="19">
        <v>0.049</v>
      </c>
      <c r="AP115" s="19">
        <f t="shared" si="35"/>
        <v>0.308</v>
      </c>
    </row>
    <row r="116" spans="3:38" ht="24.75" customHeight="1">
      <c r="C116" s="89" t="s">
        <v>151</v>
      </c>
      <c r="D116" s="125"/>
      <c r="E116" s="125"/>
      <c r="F116" s="36"/>
      <c r="G116" s="58">
        <f>SUM(G110:G115)</f>
        <v>4036.7150000000006</v>
      </c>
      <c r="H116" s="58"/>
      <c r="I116" s="58">
        <f>SUM(I110:I115)</f>
        <v>30.639000000000003</v>
      </c>
      <c r="J116" s="59"/>
      <c r="K116" s="47">
        <f>SUM(K110:K115)</f>
        <v>936.86211974</v>
      </c>
      <c r="L116" s="47"/>
      <c r="M116" s="47">
        <f>SUM(M110:M115)</f>
        <v>0</v>
      </c>
      <c r="N116" s="47"/>
      <c r="O116" s="47">
        <f>SUM(O110:O115)</f>
        <v>-3099.85288026</v>
      </c>
      <c r="P116" s="47"/>
      <c r="Q116" s="47">
        <f>SUM(Q110:Q115)</f>
        <v>-30.639000000000003</v>
      </c>
      <c r="R116" s="47"/>
      <c r="S116" s="47">
        <f>SUM(S110:S115)</f>
        <v>5.49804341142857</v>
      </c>
      <c r="T116" s="47">
        <f>SUM(T110:T115)</f>
        <v>0</v>
      </c>
      <c r="U116" s="47">
        <f>SUM(U110:U115)</f>
        <v>-0.7511862685714281</v>
      </c>
      <c r="V116" s="47">
        <f>SUM(V110:V115)</f>
        <v>4.746857142857143</v>
      </c>
      <c r="W116" s="45"/>
      <c r="X116" s="47">
        <f>SUM(X110:X115)</f>
        <v>3.20719199</v>
      </c>
      <c r="Y116" s="47">
        <f>SUM(Y110:Y115)</f>
        <v>0</v>
      </c>
      <c r="Z116" s="47">
        <f>SUM(Z110:Z115)</f>
        <v>-0.43819198999999975</v>
      </c>
      <c r="AA116" s="47">
        <f>SUM(AA110:AA115)</f>
        <v>2.769</v>
      </c>
      <c r="AB116" s="45"/>
      <c r="AC116" s="45"/>
      <c r="AD116" s="45"/>
      <c r="AE116" s="45"/>
      <c r="AF116" s="45"/>
      <c r="AG116" s="45"/>
      <c r="AH116" s="47">
        <f>SUM(AH110:AH115)</f>
        <v>1.58256276</v>
      </c>
      <c r="AI116" s="47">
        <f>SUM(AI110:AI115)</f>
        <v>0</v>
      </c>
      <c r="AJ116" s="47">
        <f>SUM(AJ110:AJ115)</f>
        <v>1.8875271700000003</v>
      </c>
      <c r="AK116" s="47">
        <f>SUM(AK110:AK115)</f>
        <v>5.368</v>
      </c>
      <c r="AL116" s="47">
        <f>SUM(AH116:AK116)</f>
        <v>8.83808993</v>
      </c>
    </row>
    <row r="117" spans="1:38" ht="45">
      <c r="A117" s="33" t="s">
        <v>152</v>
      </c>
      <c r="D117" s="120"/>
      <c r="E117" s="120"/>
      <c r="F117" s="75" t="s">
        <v>268</v>
      </c>
      <c r="G117" s="28"/>
      <c r="H117" s="28"/>
      <c r="I117" s="28"/>
      <c r="J117" s="28"/>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row>
    <row r="118" spans="3:42" s="74" customFormat="1" ht="24.75" customHeight="1">
      <c r="C118" s="78" t="s">
        <v>152</v>
      </c>
      <c r="D118" s="129" t="s">
        <v>161</v>
      </c>
      <c r="E118" s="129"/>
      <c r="G118" s="76">
        <v>2882.875</v>
      </c>
      <c r="H118" s="76"/>
      <c r="I118" s="76">
        <v>0</v>
      </c>
      <c r="J118" s="76"/>
      <c r="K118" s="77">
        <v>2718.632138</v>
      </c>
      <c r="L118" s="77"/>
      <c r="M118" s="77">
        <v>0</v>
      </c>
      <c r="N118" s="77"/>
      <c r="O118" s="77">
        <f>K118-G118</f>
        <v>-164.24286200000006</v>
      </c>
      <c r="P118" s="77"/>
      <c r="Q118" s="77">
        <f>M118-I118</f>
        <v>0</v>
      </c>
      <c r="R118" s="77"/>
      <c r="S118" s="77">
        <f aca="true" t="shared" si="36" ref="S118:U122">(X118/7)*12</f>
        <v>4.002497708571428</v>
      </c>
      <c r="T118" s="77">
        <f t="shared" si="36"/>
        <v>0</v>
      </c>
      <c r="U118" s="77">
        <f t="shared" si="36"/>
        <v>-0.5807834228571424</v>
      </c>
      <c r="V118" s="77">
        <f>S118+T118+U118</f>
        <v>3.4217142857142857</v>
      </c>
      <c r="W118" s="77"/>
      <c r="X118" s="77">
        <v>2.3347903299999997</v>
      </c>
      <c r="Y118" s="77">
        <v>0</v>
      </c>
      <c r="Z118" s="77">
        <f>AP118-Y118-X118</f>
        <v>-0.3387903299999997</v>
      </c>
      <c r="AA118" s="77">
        <f>X118+Y118+Z118</f>
        <v>1.996</v>
      </c>
      <c r="AB118" s="77"/>
      <c r="AC118" s="77"/>
      <c r="AD118" s="77"/>
      <c r="AE118" s="77"/>
      <c r="AF118" s="77"/>
      <c r="AG118" s="77"/>
      <c r="AH118" s="77">
        <v>0.73644553</v>
      </c>
      <c r="AI118" s="77">
        <v>0</v>
      </c>
      <c r="AJ118" s="77">
        <v>0.8844903999999999</v>
      </c>
      <c r="AK118" s="77">
        <f>0.686+1.908-0.205-0.161</f>
        <v>2.2279999999999998</v>
      </c>
      <c r="AL118" s="77">
        <f aca="true" t="shared" si="37" ref="AL118:AL123">SUM(AH118:AK118)</f>
        <v>3.8489359299999997</v>
      </c>
      <c r="AN118" s="74">
        <v>2.346</v>
      </c>
      <c r="AO118" s="74">
        <v>0.35</v>
      </c>
      <c r="AP118" s="74">
        <f>AN118-AO118</f>
        <v>1.996</v>
      </c>
    </row>
    <row r="119" spans="3:42" ht="24.75" customHeight="1">
      <c r="C119" s="66" t="s">
        <v>153</v>
      </c>
      <c r="D119" s="120" t="s">
        <v>161</v>
      </c>
      <c r="E119" s="120"/>
      <c r="F119" s="28"/>
      <c r="G119" s="28">
        <v>467.937</v>
      </c>
      <c r="H119" s="28"/>
      <c r="I119" s="28">
        <v>0</v>
      </c>
      <c r="J119" s="28"/>
      <c r="K119" s="45">
        <v>315.625329</v>
      </c>
      <c r="L119" s="45"/>
      <c r="M119" s="45">
        <v>0</v>
      </c>
      <c r="N119" s="45"/>
      <c r="O119" s="45">
        <f>K119-G119</f>
        <v>-152.311671</v>
      </c>
      <c r="P119" s="45"/>
      <c r="Q119" s="45">
        <f>M119-I119</f>
        <v>0</v>
      </c>
      <c r="R119" s="45"/>
      <c r="S119" s="45">
        <f t="shared" si="36"/>
        <v>0.4701687771428572</v>
      </c>
      <c r="T119" s="45">
        <f t="shared" si="36"/>
        <v>0</v>
      </c>
      <c r="U119" s="45">
        <f t="shared" si="36"/>
        <v>-0.015883062857142884</v>
      </c>
      <c r="V119" s="45">
        <f>S119+T119+U119</f>
        <v>0.45428571428571435</v>
      </c>
      <c r="W119" s="45"/>
      <c r="X119" s="45">
        <v>0.27426512000000003</v>
      </c>
      <c r="Y119" s="45">
        <v>0</v>
      </c>
      <c r="Z119" s="45">
        <f>AP119-Y119-X119</f>
        <v>-0.009265120000000016</v>
      </c>
      <c r="AA119" s="45">
        <f>X119+Y119+Z119</f>
        <v>0.265</v>
      </c>
      <c r="AB119" s="45"/>
      <c r="AC119" s="45"/>
      <c r="AD119" s="45"/>
      <c r="AE119" s="45"/>
      <c r="AF119" s="45"/>
      <c r="AG119" s="45"/>
      <c r="AH119" s="45">
        <v>0</v>
      </c>
      <c r="AI119" s="45">
        <v>0</v>
      </c>
      <c r="AJ119" s="45">
        <v>0.027916470000000002</v>
      </c>
      <c r="AK119" s="45">
        <v>0</v>
      </c>
      <c r="AL119" s="45">
        <f t="shared" si="37"/>
        <v>0.027916470000000002</v>
      </c>
      <c r="AN119" s="19">
        <v>0.299</v>
      </c>
      <c r="AO119" s="19">
        <v>0.034</v>
      </c>
      <c r="AP119" s="19">
        <f>AN119-AO119</f>
        <v>0.265</v>
      </c>
    </row>
    <row r="120" spans="3:42" ht="24.75" customHeight="1">
      <c r="C120" s="66" t="s">
        <v>154</v>
      </c>
      <c r="D120" s="120" t="s">
        <v>161</v>
      </c>
      <c r="E120" s="120"/>
      <c r="F120" s="28"/>
      <c r="G120" s="28">
        <v>550.008</v>
      </c>
      <c r="H120" s="28"/>
      <c r="I120" s="28">
        <v>0</v>
      </c>
      <c r="J120" s="28"/>
      <c r="K120" s="45">
        <v>521.882642</v>
      </c>
      <c r="L120" s="45"/>
      <c r="M120" s="45">
        <v>0</v>
      </c>
      <c r="N120" s="45"/>
      <c r="O120" s="45">
        <f>K120-G120</f>
        <v>-28.125358000000006</v>
      </c>
      <c r="P120" s="45"/>
      <c r="Q120" s="45">
        <f>M120-I120</f>
        <v>0</v>
      </c>
      <c r="R120" s="45"/>
      <c r="S120" s="45">
        <f t="shared" si="36"/>
        <v>0.5751995657142857</v>
      </c>
      <c r="T120" s="45">
        <f t="shared" si="36"/>
        <v>0</v>
      </c>
      <c r="U120" s="45">
        <f t="shared" si="36"/>
        <v>0.0008004342857143498</v>
      </c>
      <c r="V120" s="45">
        <f>S120+T120+U120</f>
        <v>0.576</v>
      </c>
      <c r="W120" s="45"/>
      <c r="X120" s="45">
        <v>0.33553308</v>
      </c>
      <c r="Y120" s="45">
        <v>0</v>
      </c>
      <c r="Z120" s="45">
        <f>AP120-Y120-X120</f>
        <v>0.0004669200000000373</v>
      </c>
      <c r="AA120" s="45">
        <f>X120+Y120+Z120</f>
        <v>0.336</v>
      </c>
      <c r="AB120" s="45"/>
      <c r="AC120" s="45"/>
      <c r="AD120" s="45"/>
      <c r="AE120" s="45"/>
      <c r="AF120" s="45"/>
      <c r="AG120" s="45"/>
      <c r="AH120" s="45">
        <v>0</v>
      </c>
      <c r="AI120" s="45">
        <v>0</v>
      </c>
      <c r="AJ120" s="45">
        <v>0</v>
      </c>
      <c r="AK120" s="45">
        <v>0</v>
      </c>
      <c r="AL120" s="45">
        <f t="shared" si="37"/>
        <v>0</v>
      </c>
      <c r="AN120" s="19">
        <v>0.382</v>
      </c>
      <c r="AO120" s="19">
        <v>0.046</v>
      </c>
      <c r="AP120" s="19">
        <f>AN120-AO120</f>
        <v>0.336</v>
      </c>
    </row>
    <row r="121" spans="3:42" ht="24.75" customHeight="1">
      <c r="C121" s="66" t="s">
        <v>155</v>
      </c>
      <c r="D121" s="120" t="s">
        <v>161</v>
      </c>
      <c r="E121" s="120"/>
      <c r="F121" s="28"/>
      <c r="G121" s="28">
        <v>50.75</v>
      </c>
      <c r="H121" s="28"/>
      <c r="I121" s="28">
        <v>50.963</v>
      </c>
      <c r="J121" s="28"/>
      <c r="K121" s="45">
        <v>0</v>
      </c>
      <c r="L121" s="45"/>
      <c r="M121" s="45">
        <v>0</v>
      </c>
      <c r="N121" s="45"/>
      <c r="O121" s="45">
        <f>K121-G121</f>
        <v>-50.75</v>
      </c>
      <c r="P121" s="45"/>
      <c r="Q121" s="45">
        <f>M121-I121</f>
        <v>-50.963</v>
      </c>
      <c r="R121" s="45"/>
      <c r="S121" s="45">
        <f t="shared" si="36"/>
        <v>0.06993987428571427</v>
      </c>
      <c r="T121" s="45">
        <f t="shared" si="36"/>
        <v>0</v>
      </c>
      <c r="U121" s="45">
        <f t="shared" si="36"/>
        <v>-2.943082731428572</v>
      </c>
      <c r="V121" s="45">
        <f>S121+T121+U121</f>
        <v>-2.8731428571428577</v>
      </c>
      <c r="W121" s="45"/>
      <c r="X121" s="45">
        <v>0.040798259999999996</v>
      </c>
      <c r="Y121" s="45">
        <v>0</v>
      </c>
      <c r="Z121" s="45">
        <f>AP121-Y121-X121</f>
        <v>-1.7167982600000002</v>
      </c>
      <c r="AA121" s="45">
        <f>X121+Y121+Z121</f>
        <v>-1.6760000000000002</v>
      </c>
      <c r="AB121" s="45"/>
      <c r="AC121" s="45"/>
      <c r="AD121" s="45"/>
      <c r="AE121" s="45"/>
      <c r="AF121" s="45"/>
      <c r="AG121" s="45"/>
      <c r="AH121" s="45">
        <v>0</v>
      </c>
      <c r="AI121" s="45">
        <v>0</v>
      </c>
      <c r="AJ121" s="45">
        <v>0.1817432</v>
      </c>
      <c r="AK121" s="45">
        <v>0</v>
      </c>
      <c r="AL121" s="45">
        <f t="shared" si="37"/>
        <v>0.1817432</v>
      </c>
      <c r="AN121" s="19">
        <f>-1.431</f>
        <v>-1.431</v>
      </c>
      <c r="AO121" s="19">
        <v>0.245</v>
      </c>
      <c r="AP121" s="19">
        <f>AN121-AO121</f>
        <v>-1.6760000000000002</v>
      </c>
    </row>
    <row r="122" spans="3:42" ht="24.75" customHeight="1">
      <c r="C122" s="66" t="s">
        <v>156</v>
      </c>
      <c r="D122" s="120" t="s">
        <v>159</v>
      </c>
      <c r="E122" s="120"/>
      <c r="F122" s="28"/>
      <c r="G122" s="28">
        <v>50.208</v>
      </c>
      <c r="H122" s="28"/>
      <c r="I122" s="28">
        <v>0.1</v>
      </c>
      <c r="J122" s="28"/>
      <c r="K122" s="46">
        <v>50.1</v>
      </c>
      <c r="L122" s="52" t="s">
        <v>175</v>
      </c>
      <c r="M122" s="46">
        <v>50.118839</v>
      </c>
      <c r="N122" s="46"/>
      <c r="O122" s="46">
        <f>K122-G122</f>
        <v>-0.10799999999999699</v>
      </c>
      <c r="P122" s="46"/>
      <c r="Q122" s="46">
        <f>M122-I122</f>
        <v>50.018839</v>
      </c>
      <c r="R122" s="46"/>
      <c r="S122" s="46">
        <f t="shared" si="36"/>
        <v>0.09969877714285716</v>
      </c>
      <c r="T122" s="46">
        <f t="shared" si="36"/>
        <v>0</v>
      </c>
      <c r="U122" s="46">
        <f t="shared" si="36"/>
        <v>-0.0002702057142857095</v>
      </c>
      <c r="V122" s="46">
        <f>S122+T122+U122</f>
        <v>0.09942857142857145</v>
      </c>
      <c r="W122" s="45"/>
      <c r="X122" s="46">
        <v>0.05815762</v>
      </c>
      <c r="Y122" s="46">
        <v>0</v>
      </c>
      <c r="Z122" s="46">
        <f>AP122-Y122-X122</f>
        <v>-0.0001576199999999972</v>
      </c>
      <c r="AA122" s="46">
        <f>X122+Y122+Z122</f>
        <v>0.058</v>
      </c>
      <c r="AB122" s="45"/>
      <c r="AC122" s="45"/>
      <c r="AD122" s="45"/>
      <c r="AE122" s="45"/>
      <c r="AF122" s="45"/>
      <c r="AG122" s="45"/>
      <c r="AH122" s="46">
        <v>0</v>
      </c>
      <c r="AI122" s="46">
        <v>0</v>
      </c>
      <c r="AJ122" s="46">
        <v>2.7401539299999995</v>
      </c>
      <c r="AK122" s="46">
        <v>0</v>
      </c>
      <c r="AL122" s="46">
        <f t="shared" si="37"/>
        <v>2.7401539299999995</v>
      </c>
      <c r="AN122" s="19">
        <v>0.058</v>
      </c>
      <c r="AO122" s="19">
        <v>0</v>
      </c>
      <c r="AP122" s="19">
        <f>AN122-AO122</f>
        <v>0.058</v>
      </c>
    </row>
    <row r="123" spans="3:38" ht="24.75" customHeight="1">
      <c r="C123" s="89" t="s">
        <v>157</v>
      </c>
      <c r="D123" s="125"/>
      <c r="E123" s="125"/>
      <c r="F123" s="36"/>
      <c r="G123" s="58">
        <f>SUM(G118:G122)</f>
        <v>4001.778</v>
      </c>
      <c r="H123" s="58"/>
      <c r="I123" s="58">
        <f>SUM(I118:I122)</f>
        <v>51.063</v>
      </c>
      <c r="J123" s="59"/>
      <c r="K123" s="47">
        <f>SUM(K118:K122)</f>
        <v>3606.240109</v>
      </c>
      <c r="L123" s="47"/>
      <c r="M123" s="47">
        <f>SUM(M118:M122)</f>
        <v>50.118839</v>
      </c>
      <c r="N123" s="47"/>
      <c r="O123" s="47">
        <f>SUM(O118:O122)</f>
        <v>-395.53789100000006</v>
      </c>
      <c r="P123" s="47"/>
      <c r="Q123" s="47">
        <f>SUM(Q118:Q122)</f>
        <v>-0.9441610000000011</v>
      </c>
      <c r="R123" s="47"/>
      <c r="S123" s="47">
        <f>SUM(S118:S122)</f>
        <v>5.217504702857142</v>
      </c>
      <c r="T123" s="47">
        <f>SUM(T118:T122)</f>
        <v>0</v>
      </c>
      <c r="U123" s="47">
        <f>SUM(U118:U122)</f>
        <v>-3.5392189885714287</v>
      </c>
      <c r="V123" s="47">
        <f>SUM(V118:V122)</f>
        <v>1.6782857142857137</v>
      </c>
      <c r="W123" s="45"/>
      <c r="X123" s="47">
        <f>SUM(X118:X122)</f>
        <v>3.043544409999999</v>
      </c>
      <c r="Y123" s="47">
        <f>SUM(Y118:Y122)</f>
        <v>0</v>
      </c>
      <c r="Z123" s="47">
        <f>SUM(Z118:Z122)</f>
        <v>-2.06454441</v>
      </c>
      <c r="AA123" s="47">
        <f>SUM(AA118:AA122)</f>
        <v>0.9789999999999999</v>
      </c>
      <c r="AB123" s="45"/>
      <c r="AC123" s="45"/>
      <c r="AD123" s="45"/>
      <c r="AE123" s="45"/>
      <c r="AF123" s="45"/>
      <c r="AG123" s="45"/>
      <c r="AH123" s="47">
        <f>SUM(AH118:AH122)</f>
        <v>0.73644553</v>
      </c>
      <c r="AI123" s="47">
        <f>SUM(AI118:AI122)</f>
        <v>0</v>
      </c>
      <c r="AJ123" s="47">
        <f>SUM(AJ118:AJ122)</f>
        <v>3.8343039999999995</v>
      </c>
      <c r="AK123" s="47">
        <f>SUM(AK118:AK122)</f>
        <v>2.2279999999999998</v>
      </c>
      <c r="AL123" s="47">
        <f t="shared" si="37"/>
        <v>6.798749529999999</v>
      </c>
    </row>
    <row r="124" spans="3:38" ht="15">
      <c r="C124" s="93"/>
      <c r="D124" s="125"/>
      <c r="E124" s="125"/>
      <c r="F124" s="36"/>
      <c r="G124" s="36"/>
      <c r="H124" s="36"/>
      <c r="I124" s="36"/>
      <c r="J124" s="36"/>
      <c r="K124" s="47"/>
      <c r="L124" s="47"/>
      <c r="M124" s="47"/>
      <c r="N124" s="47"/>
      <c r="O124" s="47"/>
      <c r="P124" s="47"/>
      <c r="Q124" s="47"/>
      <c r="R124" s="47"/>
      <c r="S124" s="47"/>
      <c r="T124" s="47"/>
      <c r="U124" s="47"/>
      <c r="V124" s="47"/>
      <c r="W124" s="45"/>
      <c r="X124" s="47"/>
      <c r="Y124" s="47"/>
      <c r="Z124" s="47"/>
      <c r="AA124" s="47"/>
      <c r="AB124" s="45"/>
      <c r="AC124" s="45"/>
      <c r="AD124" s="45"/>
      <c r="AE124" s="45"/>
      <c r="AF124" s="45"/>
      <c r="AG124" s="45"/>
      <c r="AH124" s="45"/>
      <c r="AI124" s="45"/>
      <c r="AJ124" s="45"/>
      <c r="AK124" s="45"/>
      <c r="AL124" s="45"/>
    </row>
    <row r="125" spans="1:42" ht="15">
      <c r="A125" s="33" t="s">
        <v>69</v>
      </c>
      <c r="C125" s="93"/>
      <c r="D125" s="120" t="s">
        <v>161</v>
      </c>
      <c r="E125" s="120"/>
      <c r="F125" s="28"/>
      <c r="G125" s="28">
        <v>0</v>
      </c>
      <c r="H125" s="28"/>
      <c r="I125" s="28">
        <v>0</v>
      </c>
      <c r="J125" s="28"/>
      <c r="K125" s="46">
        <v>0</v>
      </c>
      <c r="L125" s="46" t="s">
        <v>177</v>
      </c>
      <c r="M125" s="46">
        <v>0</v>
      </c>
      <c r="N125" s="46"/>
      <c r="O125" s="46">
        <v>0</v>
      </c>
      <c r="P125" s="46"/>
      <c r="Q125" s="46">
        <v>0</v>
      </c>
      <c r="R125" s="46"/>
      <c r="S125" s="46">
        <v>15</v>
      </c>
      <c r="T125" s="46">
        <f>(Y125/8)*12</f>
        <v>0</v>
      </c>
      <c r="U125" s="46">
        <f>(Z125/8)*12</f>
        <v>0</v>
      </c>
      <c r="V125" s="46">
        <f>S125+T125+U125</f>
        <v>15</v>
      </c>
      <c r="W125" s="45"/>
      <c r="X125" s="46">
        <v>0</v>
      </c>
      <c r="Y125" s="46">
        <v>0</v>
      </c>
      <c r="Z125" s="46">
        <v>0</v>
      </c>
      <c r="AA125" s="46">
        <f>X125+Y125+Z125</f>
        <v>0</v>
      </c>
      <c r="AB125" s="45"/>
      <c r="AC125" s="45"/>
      <c r="AD125" s="45"/>
      <c r="AE125" s="45"/>
      <c r="AF125" s="45"/>
      <c r="AG125" s="45"/>
      <c r="AH125" s="46">
        <v>0</v>
      </c>
      <c r="AI125" s="46">
        <v>0</v>
      </c>
      <c r="AJ125" s="46">
        <v>0</v>
      </c>
      <c r="AK125" s="46">
        <v>0</v>
      </c>
      <c r="AL125" s="46">
        <f>SUM(AH125:AK125)</f>
        <v>0</v>
      </c>
      <c r="AN125" s="19">
        <v>0</v>
      </c>
      <c r="AO125" s="19">
        <v>0</v>
      </c>
      <c r="AP125" s="19">
        <f>AN125-AO125</f>
        <v>0</v>
      </c>
    </row>
    <row r="126" spans="3:38" ht="15">
      <c r="C126" s="93"/>
      <c r="D126" s="125"/>
      <c r="E126" s="125"/>
      <c r="F126" s="36"/>
      <c r="G126" s="59"/>
      <c r="H126" s="59"/>
      <c r="I126" s="59"/>
      <c r="J126" s="59"/>
      <c r="K126" s="53"/>
      <c r="L126" s="53"/>
      <c r="M126" s="53"/>
      <c r="N126" s="53"/>
      <c r="O126" s="53"/>
      <c r="P126" s="53"/>
      <c r="Q126" s="53"/>
      <c r="R126" s="53"/>
      <c r="S126" s="53"/>
      <c r="T126" s="53"/>
      <c r="U126" s="53"/>
      <c r="V126" s="53"/>
      <c r="W126" s="45"/>
      <c r="X126" s="53"/>
      <c r="Y126" s="53"/>
      <c r="Z126" s="53"/>
      <c r="AA126" s="53"/>
      <c r="AB126" s="45"/>
      <c r="AC126" s="45"/>
      <c r="AD126" s="45"/>
      <c r="AE126" s="45"/>
      <c r="AF126" s="45"/>
      <c r="AG126" s="45"/>
      <c r="AH126" s="45"/>
      <c r="AI126" s="45"/>
      <c r="AJ126" s="45"/>
      <c r="AK126" s="45"/>
      <c r="AL126" s="45"/>
    </row>
    <row r="127" spans="3:38" ht="3.75" customHeight="1" hidden="1">
      <c r="C127" s="93"/>
      <c r="D127" s="125"/>
      <c r="E127" s="125"/>
      <c r="F127" s="36"/>
      <c r="G127" s="36"/>
      <c r="H127" s="36"/>
      <c r="I127" s="36"/>
      <c r="J127" s="36"/>
      <c r="K127" s="53"/>
      <c r="L127" s="53"/>
      <c r="M127" s="53"/>
      <c r="N127" s="53"/>
      <c r="O127" s="53"/>
      <c r="P127" s="53"/>
      <c r="Q127" s="53"/>
      <c r="R127" s="53"/>
      <c r="S127" s="53"/>
      <c r="T127" s="53"/>
      <c r="U127" s="53"/>
      <c r="V127" s="53"/>
      <c r="W127" s="45"/>
      <c r="X127" s="53"/>
      <c r="Y127" s="53"/>
      <c r="Z127" s="53"/>
      <c r="AA127" s="53"/>
      <c r="AB127" s="45"/>
      <c r="AC127" s="45"/>
      <c r="AD127" s="45"/>
      <c r="AE127" s="45"/>
      <c r="AF127" s="45"/>
      <c r="AG127" s="45"/>
      <c r="AH127" s="45"/>
      <c r="AI127" s="45"/>
      <c r="AJ127" s="45"/>
      <c r="AK127" s="45"/>
      <c r="AL127" s="45"/>
    </row>
    <row r="128" spans="3:38" ht="30.75" thickBot="1">
      <c r="C128" s="90" t="s">
        <v>158</v>
      </c>
      <c r="D128" s="120"/>
      <c r="E128" s="120"/>
      <c r="F128" s="28"/>
      <c r="G128" s="48">
        <f>G123+G116+G108+G125</f>
        <v>9766.937</v>
      </c>
      <c r="H128" s="28"/>
      <c r="I128" s="48">
        <f>I123+I116+I108+I125</f>
        <v>88.217</v>
      </c>
      <c r="J128" s="28"/>
      <c r="K128" s="115">
        <f>K123+K116+K108+K125</f>
        <v>6265.77155174</v>
      </c>
      <c r="L128" s="115"/>
      <c r="M128" s="115">
        <f>M123+M116+M108+M125</f>
        <v>54.83237031</v>
      </c>
      <c r="N128" s="115"/>
      <c r="O128" s="115">
        <f>O123+O116+O108+O125</f>
        <v>-3501.1654482599997</v>
      </c>
      <c r="P128" s="115"/>
      <c r="Q128" s="115">
        <f>Q123+Q116+Q108+Q125</f>
        <v>-33.384629690000004</v>
      </c>
      <c r="R128" s="115"/>
      <c r="S128" s="115">
        <f>S123+S116+S108+S125</f>
        <v>30.45017273142857</v>
      </c>
      <c r="T128" s="115">
        <f>T123+T116+T108+T125</f>
        <v>-9.429829285714286</v>
      </c>
      <c r="U128" s="115">
        <f>U123+U116+U108+U125</f>
        <v>-8.238629159999999</v>
      </c>
      <c r="V128" s="115">
        <f>V123+V116+V108+V125</f>
        <v>12.781714285714287</v>
      </c>
      <c r="W128" s="116"/>
      <c r="X128" s="115">
        <f>X123+X116+X108+X125</f>
        <v>9.01260076</v>
      </c>
      <c r="Y128" s="115">
        <f>Y123+Y116+Y108+Y125</f>
        <v>-5.50073375</v>
      </c>
      <c r="Z128" s="115">
        <f>Z123+Z116+Z108+Z125</f>
        <v>-4.80586701</v>
      </c>
      <c r="AA128" s="115">
        <f>AA123+AA116+AA108+AA125</f>
        <v>-1.2939999999999996</v>
      </c>
      <c r="AB128" s="116"/>
      <c r="AC128" s="116"/>
      <c r="AD128" s="116"/>
      <c r="AE128" s="116"/>
      <c r="AF128" s="116"/>
      <c r="AG128" s="116"/>
      <c r="AH128" s="115">
        <f>AH123+AH116+AH108+AH125</f>
        <v>2.99209849</v>
      </c>
      <c r="AI128" s="115">
        <f>AI123+AI116+AI108+AI125</f>
        <v>0</v>
      </c>
      <c r="AJ128" s="115">
        <f>AJ123+AJ116+AJ108+AJ125</f>
        <v>6.20441065</v>
      </c>
      <c r="AK128" s="115">
        <f>AK123+AK116+AK108+AK125</f>
        <v>9.754</v>
      </c>
      <c r="AL128" s="115">
        <f>SUM(AH128:AK128)</f>
        <v>18.95050914</v>
      </c>
    </row>
    <row r="129" spans="1:38" ht="24.75" customHeight="1" thickTop="1">
      <c r="A129" s="130" t="s">
        <v>218</v>
      </c>
      <c r="B129" s="30"/>
      <c r="C129" s="88"/>
      <c r="D129" s="121"/>
      <c r="E129" s="121"/>
      <c r="F129" s="32"/>
      <c r="G129" s="32"/>
      <c r="H129" s="32"/>
      <c r="I129" s="32"/>
      <c r="J129" s="32"/>
      <c r="K129" s="49"/>
      <c r="L129" s="49"/>
      <c r="M129" s="49"/>
      <c r="N129" s="49"/>
      <c r="O129" s="49"/>
      <c r="P129" s="49"/>
      <c r="Q129" s="49"/>
      <c r="R129" s="49"/>
      <c r="S129" s="49"/>
      <c r="T129" s="49"/>
      <c r="U129" s="49"/>
      <c r="V129" s="49"/>
      <c r="W129" s="50"/>
      <c r="X129" s="49"/>
      <c r="Y129" s="49"/>
      <c r="Z129" s="49"/>
      <c r="AA129" s="49"/>
      <c r="AB129" s="49"/>
      <c r="AC129" s="49"/>
      <c r="AD129" s="49"/>
      <c r="AE129" s="49"/>
      <c r="AF129" s="49"/>
      <c r="AG129" s="49"/>
      <c r="AH129" s="49"/>
      <c r="AI129" s="49"/>
      <c r="AJ129" s="49"/>
      <c r="AK129" s="49"/>
      <c r="AL129" s="49"/>
    </row>
    <row r="130" spans="3:42" ht="24.75" customHeight="1">
      <c r="C130" s="66" t="s">
        <v>219</v>
      </c>
      <c r="D130" s="120" t="s">
        <v>160</v>
      </c>
      <c r="E130" s="120"/>
      <c r="F130" s="28"/>
      <c r="G130" s="68">
        <v>903.646</v>
      </c>
      <c r="H130" s="69"/>
      <c r="I130" s="68">
        <v>0</v>
      </c>
      <c r="J130" s="69"/>
      <c r="K130" s="68">
        <v>748.778</v>
      </c>
      <c r="L130" s="68"/>
      <c r="M130" s="68">
        <v>0</v>
      </c>
      <c r="N130" s="70"/>
      <c r="O130" s="68">
        <f>K130-G130</f>
        <v>-154.86799999999994</v>
      </c>
      <c r="P130" s="68"/>
      <c r="Q130" s="68">
        <f>M130-I130</f>
        <v>0</v>
      </c>
      <c r="R130" s="70"/>
      <c r="S130" s="45">
        <f aca="true" t="shared" si="38" ref="S130:U132">(X130/7)*12</f>
        <v>5.94</v>
      </c>
      <c r="T130" s="45">
        <f t="shared" si="38"/>
        <v>0</v>
      </c>
      <c r="U130" s="45">
        <f t="shared" si="38"/>
        <v>0.8777142857142858</v>
      </c>
      <c r="V130" s="45">
        <f>S130+T130+U130</f>
        <v>6.8177142857142865</v>
      </c>
      <c r="W130" s="45"/>
      <c r="X130" s="45">
        <f>3.789-0.324</f>
        <v>3.4650000000000003</v>
      </c>
      <c r="Y130" s="45">
        <v>0</v>
      </c>
      <c r="Z130" s="45">
        <f>AP130-Y130-X130</f>
        <v>0.512</v>
      </c>
      <c r="AA130" s="45">
        <f>X130+Y130+Z130</f>
        <v>3.9770000000000003</v>
      </c>
      <c r="AB130" s="45"/>
      <c r="AC130" s="45"/>
      <c r="AD130" s="45"/>
      <c r="AE130" s="45"/>
      <c r="AF130" s="45"/>
      <c r="AG130" s="45"/>
      <c r="AH130" s="48"/>
      <c r="AI130" s="48"/>
      <c r="AJ130" s="48"/>
      <c r="AK130" s="45">
        <f>0.305+0.826-0.043-0.033</f>
        <v>1.0550000000000002</v>
      </c>
      <c r="AL130" s="48"/>
      <c r="AN130" s="19">
        <f>4.418</f>
        <v>4.418</v>
      </c>
      <c r="AO130" s="19">
        <v>0.441</v>
      </c>
      <c r="AP130" s="19">
        <f>AN130-AO130</f>
        <v>3.9770000000000003</v>
      </c>
    </row>
    <row r="131" spans="3:42" s="74" customFormat="1" ht="105">
      <c r="C131" s="78" t="s">
        <v>269</v>
      </c>
      <c r="D131" s="129" t="s">
        <v>160</v>
      </c>
      <c r="E131" s="129"/>
      <c r="F131" s="75" t="s">
        <v>270</v>
      </c>
      <c r="G131" s="81">
        <v>0</v>
      </c>
      <c r="H131" s="82"/>
      <c r="I131" s="83">
        <v>37.736</v>
      </c>
      <c r="J131" s="82"/>
      <c r="K131" s="83">
        <v>0</v>
      </c>
      <c r="L131" s="83"/>
      <c r="M131" s="83">
        <v>33.041</v>
      </c>
      <c r="N131" s="81"/>
      <c r="O131" s="83">
        <f>K131-G131</f>
        <v>0</v>
      </c>
      <c r="P131" s="83"/>
      <c r="Q131" s="83">
        <f>M131-I131</f>
        <v>-4.695</v>
      </c>
      <c r="R131" s="81"/>
      <c r="S131" s="77">
        <f t="shared" si="38"/>
        <v>0</v>
      </c>
      <c r="T131" s="77">
        <f t="shared" si="38"/>
        <v>0</v>
      </c>
      <c r="U131" s="77">
        <f t="shared" si="38"/>
        <v>4.930285714285715</v>
      </c>
      <c r="V131" s="77">
        <f>S131+T131+U131</f>
        <v>4.930285714285715</v>
      </c>
      <c r="W131" s="77"/>
      <c r="X131" s="77">
        <v>0</v>
      </c>
      <c r="Y131" s="77">
        <v>0</v>
      </c>
      <c r="Z131" s="77">
        <f>AP131-Y131-X131</f>
        <v>2.876</v>
      </c>
      <c r="AA131" s="77">
        <f>X131+Y131+Z131</f>
        <v>2.876</v>
      </c>
      <c r="AB131" s="77"/>
      <c r="AC131" s="77"/>
      <c r="AD131" s="77"/>
      <c r="AE131" s="77"/>
      <c r="AF131" s="77"/>
      <c r="AG131" s="77"/>
      <c r="AH131" s="84"/>
      <c r="AI131" s="84"/>
      <c r="AJ131" s="84"/>
      <c r="AK131" s="84"/>
      <c r="AL131" s="84"/>
      <c r="AN131" s="74">
        <v>3.304</v>
      </c>
      <c r="AO131" s="74">
        <v>0.428</v>
      </c>
      <c r="AP131" s="74">
        <f>AN131-AO131</f>
        <v>2.876</v>
      </c>
    </row>
    <row r="132" spans="3:42" ht="60">
      <c r="C132" s="66" t="s">
        <v>220</v>
      </c>
      <c r="D132" s="120"/>
      <c r="E132" s="120"/>
      <c r="F132" s="65" t="s">
        <v>7</v>
      </c>
      <c r="G132" s="71">
        <v>0</v>
      </c>
      <c r="H132" s="71"/>
      <c r="I132" s="71">
        <v>3.312</v>
      </c>
      <c r="J132" s="71"/>
      <c r="K132" s="71"/>
      <c r="L132" s="71"/>
      <c r="M132" s="71">
        <v>3.3</v>
      </c>
      <c r="N132" s="71"/>
      <c r="O132" s="71">
        <f>K132-G132</f>
        <v>0</v>
      </c>
      <c r="P132" s="71"/>
      <c r="Q132" s="71">
        <f>M132-I132</f>
        <v>-0.01200000000000001</v>
      </c>
      <c r="R132" s="71"/>
      <c r="S132" s="46">
        <f t="shared" si="38"/>
        <v>0</v>
      </c>
      <c r="T132" s="46">
        <f t="shared" si="38"/>
        <v>0</v>
      </c>
      <c r="U132" s="46">
        <f t="shared" si="38"/>
        <v>1.6045714285714288</v>
      </c>
      <c r="V132" s="46">
        <f>S132+T132+U132</f>
        <v>1.6045714285714288</v>
      </c>
      <c r="W132" s="27"/>
      <c r="X132" s="61">
        <v>0</v>
      </c>
      <c r="Y132" s="61">
        <v>0</v>
      </c>
      <c r="Z132" s="61">
        <f>AP132-Y132-X132</f>
        <v>0.936</v>
      </c>
      <c r="AA132" s="61">
        <f>X132+Y132+Z132</f>
        <v>0.936</v>
      </c>
      <c r="AB132" s="27"/>
      <c r="AC132" s="27"/>
      <c r="AD132" s="27"/>
      <c r="AE132" s="27"/>
      <c r="AF132" s="27"/>
      <c r="AG132" s="27"/>
      <c r="AH132" s="27"/>
      <c r="AN132" s="19">
        <v>0.923</v>
      </c>
      <c r="AO132" s="19">
        <v>-0.013</v>
      </c>
      <c r="AP132" s="19">
        <f>AN132-AO132</f>
        <v>0.936</v>
      </c>
    </row>
    <row r="133" spans="4:38" ht="15.75" thickBot="1">
      <c r="D133" s="120"/>
      <c r="E133" s="120"/>
      <c r="F133" s="28"/>
      <c r="G133" s="28">
        <f>SUM(G130:G132)</f>
        <v>903.646</v>
      </c>
      <c r="H133" s="28"/>
      <c r="I133" s="28">
        <f>SUM(I130:I132)</f>
        <v>41.047999999999995</v>
      </c>
      <c r="J133" s="28"/>
      <c r="K133" s="117">
        <f>SUM(K130:K132)</f>
        <v>748.778</v>
      </c>
      <c r="L133" s="117"/>
      <c r="M133" s="117">
        <f>SUM(M130:M132)</f>
        <v>36.340999999999994</v>
      </c>
      <c r="N133" s="117"/>
      <c r="O133" s="117">
        <f>SUM(O130:O132)</f>
        <v>-154.86799999999994</v>
      </c>
      <c r="P133" s="117"/>
      <c r="Q133" s="117">
        <f>SUM(Q130:Q132)</f>
        <v>-4.707000000000001</v>
      </c>
      <c r="R133" s="117"/>
      <c r="S133" s="117">
        <f>SUM(S130:S132)</f>
        <v>5.94</v>
      </c>
      <c r="T133" s="117">
        <f>SUM(T130:T132)</f>
        <v>0</v>
      </c>
      <c r="U133" s="117">
        <f>SUM(U130:U132)</f>
        <v>7.41257142857143</v>
      </c>
      <c r="V133" s="117">
        <f>SUM(V130:V132)</f>
        <v>13.35257142857143</v>
      </c>
      <c r="W133" s="117"/>
      <c r="X133" s="117">
        <f>SUM(X130:X132)</f>
        <v>3.4650000000000003</v>
      </c>
      <c r="Y133" s="117">
        <f>SUM(Y130:Y132)</f>
        <v>0</v>
      </c>
      <c r="Z133" s="117">
        <f>SUM(Z130:Z132)</f>
        <v>4.324</v>
      </c>
      <c r="AA133" s="117">
        <f>SUM(AA130:AA132)</f>
        <v>7.789</v>
      </c>
      <c r="AB133" s="117"/>
      <c r="AC133" s="117"/>
      <c r="AD133" s="117"/>
      <c r="AE133" s="117"/>
      <c r="AF133" s="117"/>
      <c r="AG133" s="117"/>
      <c r="AH133" s="117"/>
      <c r="AI133" s="118"/>
      <c r="AJ133" s="118"/>
      <c r="AK133" s="118"/>
      <c r="AL133" s="119">
        <f>SUM(AH133:AJ133)</f>
        <v>0</v>
      </c>
    </row>
    <row r="134" spans="4:34" ht="15" hidden="1">
      <c r="D134" s="120"/>
      <c r="E134" s="120"/>
      <c r="F134" s="28"/>
      <c r="G134" s="28"/>
      <c r="H134" s="28"/>
      <c r="I134" s="28"/>
      <c r="J134" s="28"/>
      <c r="K134" s="27"/>
      <c r="L134" s="27"/>
      <c r="M134" s="27"/>
      <c r="N134" s="27"/>
      <c r="O134" s="27"/>
      <c r="P134" s="27"/>
      <c r="Q134" s="27"/>
      <c r="R134" s="27"/>
      <c r="S134" s="27"/>
      <c r="T134" s="27"/>
      <c r="U134" s="27"/>
      <c r="V134" s="27"/>
      <c r="W134" s="27"/>
      <c r="X134" s="27"/>
      <c r="Y134" s="27"/>
      <c r="Z134" s="27"/>
      <c r="AA134" s="27"/>
      <c r="AB134" s="27"/>
      <c r="AC134" s="27"/>
      <c r="AD134" s="27"/>
      <c r="AE134" s="27"/>
      <c r="AF134" s="27"/>
      <c r="AG134" s="27"/>
      <c r="AH134" s="27"/>
    </row>
    <row r="135" spans="4:34" ht="15" hidden="1">
      <c r="D135" s="120"/>
      <c r="E135" s="120"/>
      <c r="F135" s="28"/>
      <c r="G135" s="28"/>
      <c r="H135" s="28"/>
      <c r="I135" s="28"/>
      <c r="J135" s="28"/>
      <c r="K135" s="27"/>
      <c r="L135" s="27"/>
      <c r="M135" s="27"/>
      <c r="N135" s="27"/>
      <c r="O135" s="27"/>
      <c r="P135" s="27"/>
      <c r="Q135" s="27"/>
      <c r="R135" s="27"/>
      <c r="S135" s="27"/>
      <c r="T135" s="27"/>
      <c r="U135" s="27"/>
      <c r="V135" s="27"/>
      <c r="W135" s="27"/>
      <c r="X135" s="27"/>
      <c r="Y135" s="27"/>
      <c r="Z135" s="27"/>
      <c r="AA135" s="27"/>
      <c r="AB135" s="27"/>
      <c r="AC135" s="27"/>
      <c r="AD135" s="27"/>
      <c r="AE135" s="27"/>
      <c r="AF135" s="27"/>
      <c r="AG135" s="27"/>
      <c r="AH135" s="27"/>
    </row>
    <row r="136" spans="4:38" ht="15" hidden="1">
      <c r="D136" s="120"/>
      <c r="E136" s="120"/>
      <c r="F136" s="28"/>
      <c r="G136" s="27">
        <f>G128+G101+G67+G39+G133</f>
        <v>22718.1</v>
      </c>
      <c r="H136" s="28"/>
      <c r="I136" s="27">
        <f>I128+I101+I67+I39+I133</f>
        <v>680.6547</v>
      </c>
      <c r="J136" s="28"/>
      <c r="K136" s="27">
        <f>K128+K101+K67+K39+K133</f>
        <v>12971.34425452</v>
      </c>
      <c r="L136" s="27"/>
      <c r="M136" s="27">
        <f>M128+M101+M67+M39+M133</f>
        <v>428.20937534999996</v>
      </c>
      <c r="N136" s="27"/>
      <c r="O136" s="27">
        <f>O128+O101+O67+O39+O133</f>
        <v>-9746.755745479999</v>
      </c>
      <c r="P136" s="27"/>
      <c r="Q136" s="27">
        <f>Q128+Q101+Q67+Q39+Q133</f>
        <v>-252.44532465000003</v>
      </c>
      <c r="R136" s="27"/>
      <c r="S136" s="27">
        <f>S128+S101+S67+S39+S133</f>
        <v>117.39717102857144</v>
      </c>
      <c r="T136" s="27">
        <f>T128+T101+T67+T39+T133</f>
        <v>-0.032216540571431196</v>
      </c>
      <c r="U136" s="27">
        <f>U128+U101+U67+U39+U133</f>
        <v>-32.080954487999996</v>
      </c>
      <c r="V136" s="27">
        <f>V128+V101+V67+V39+V133</f>
        <v>85.28399999999999</v>
      </c>
      <c r="W136" s="27"/>
      <c r="X136" s="27">
        <f>X128+X101+X67+X39+X133</f>
        <v>59.7316831</v>
      </c>
      <c r="Y136" s="27">
        <f>Y128+Y101+Y67+Y39+Y133</f>
        <v>-0.01879298200000079</v>
      </c>
      <c r="Z136" s="27">
        <f>Z128+Z101+Z67+Z39+Z133</f>
        <v>-18.925890117999998</v>
      </c>
      <c r="AA136" s="27">
        <f>AA128+AA101+AA67+AA39+AA133</f>
        <v>40.999</v>
      </c>
      <c r="AB136" s="27"/>
      <c r="AC136" s="27"/>
      <c r="AD136" s="27"/>
      <c r="AE136" s="27"/>
      <c r="AF136" s="27"/>
      <c r="AG136" s="27"/>
      <c r="AH136" s="27"/>
      <c r="AL136" s="27">
        <f>AL128+AL101+AL67+AL39+AL133</f>
        <v>82.88890136</v>
      </c>
    </row>
    <row r="137" spans="4:34" ht="15" hidden="1">
      <c r="D137" s="120"/>
      <c r="E137" s="120"/>
      <c r="F137" s="28"/>
      <c r="G137" s="28"/>
      <c r="H137" s="28"/>
      <c r="I137" s="28"/>
      <c r="J137" s="28"/>
      <c r="K137" s="27"/>
      <c r="L137" s="27"/>
      <c r="M137" s="27"/>
      <c r="N137" s="27"/>
      <c r="O137" s="27"/>
      <c r="P137" s="27"/>
      <c r="Q137" s="27"/>
      <c r="R137" s="27"/>
      <c r="S137" s="27"/>
      <c r="T137" s="27"/>
      <c r="U137" s="27"/>
      <c r="V137" s="27"/>
      <c r="W137" s="27"/>
      <c r="X137" s="27"/>
      <c r="Y137" s="27"/>
      <c r="Z137" s="27"/>
      <c r="AA137" s="27"/>
      <c r="AB137" s="27"/>
      <c r="AC137" s="27"/>
      <c r="AD137" s="27"/>
      <c r="AE137" s="27"/>
      <c r="AF137" s="27"/>
      <c r="AG137" s="27"/>
      <c r="AH137" s="27"/>
    </row>
    <row r="138" spans="4:34" ht="15" hidden="1">
      <c r="D138" s="120"/>
      <c r="E138" s="120"/>
      <c r="F138" s="28"/>
      <c r="G138" s="28"/>
      <c r="H138" s="28"/>
      <c r="I138" s="28"/>
      <c r="J138" s="28"/>
      <c r="K138" s="27"/>
      <c r="L138" s="27"/>
      <c r="M138" s="27"/>
      <c r="N138" s="27"/>
      <c r="O138" s="27"/>
      <c r="P138" s="27"/>
      <c r="Q138" s="27"/>
      <c r="R138" s="27"/>
      <c r="S138" s="27"/>
      <c r="T138" s="27"/>
      <c r="U138" s="27"/>
      <c r="V138" s="27"/>
      <c r="W138" s="27"/>
      <c r="X138" s="27"/>
      <c r="Y138" s="27"/>
      <c r="Z138" s="27"/>
      <c r="AA138" s="27"/>
      <c r="AB138" s="27"/>
      <c r="AC138" s="27"/>
      <c r="AD138" s="27"/>
      <c r="AE138" s="27"/>
      <c r="AF138" s="27"/>
      <c r="AG138" s="27"/>
      <c r="AH138" s="27"/>
    </row>
    <row r="139" spans="3:34" ht="30" customHeight="1" thickTop="1">
      <c r="C139" s="283" t="s">
        <v>178</v>
      </c>
      <c r="D139" s="284"/>
      <c r="E139" s="284"/>
      <c r="F139" s="28"/>
      <c r="G139" s="28"/>
      <c r="H139" s="28"/>
      <c r="I139" s="28"/>
      <c r="J139" s="28"/>
      <c r="K139" s="27"/>
      <c r="L139" s="27"/>
      <c r="M139" s="27"/>
      <c r="N139" s="27"/>
      <c r="O139" s="27"/>
      <c r="P139" s="27"/>
      <c r="Q139" s="27"/>
      <c r="R139" s="27"/>
      <c r="S139" s="27"/>
      <c r="T139" s="27"/>
      <c r="U139" s="27"/>
      <c r="V139" s="27"/>
      <c r="W139" s="27"/>
      <c r="X139" s="27"/>
      <c r="Y139" s="27"/>
      <c r="Z139" s="27"/>
      <c r="AA139" s="27"/>
      <c r="AB139" s="27"/>
      <c r="AC139" s="27"/>
      <c r="AD139" s="27"/>
      <c r="AE139" s="27"/>
      <c r="AF139" s="27"/>
      <c r="AG139" s="27"/>
      <c r="AH139" s="27"/>
    </row>
    <row r="140" spans="3:34" ht="26.25" customHeight="1">
      <c r="C140" s="283" t="s">
        <v>179</v>
      </c>
      <c r="D140" s="284"/>
      <c r="E140" s="284"/>
      <c r="F140" s="28"/>
      <c r="G140" s="28"/>
      <c r="H140" s="28"/>
      <c r="I140" s="28"/>
      <c r="J140" s="28"/>
      <c r="K140" s="27"/>
      <c r="L140" s="27"/>
      <c r="M140" s="27"/>
      <c r="N140" s="27"/>
      <c r="O140" s="27"/>
      <c r="P140" s="27"/>
      <c r="Q140" s="27"/>
      <c r="R140" s="27"/>
      <c r="S140" s="27"/>
      <c r="T140" s="27"/>
      <c r="U140" s="27"/>
      <c r="V140" s="27"/>
      <c r="W140" s="27"/>
      <c r="X140" s="27"/>
      <c r="Y140" s="27"/>
      <c r="Z140" s="27"/>
      <c r="AA140" s="27"/>
      <c r="AB140" s="27"/>
      <c r="AC140" s="27"/>
      <c r="AD140" s="27"/>
      <c r="AE140" s="27"/>
      <c r="AF140" s="27"/>
      <c r="AG140" s="27"/>
      <c r="AH140" s="27"/>
    </row>
    <row r="141" spans="4:34" ht="15">
      <c r="D141" s="120"/>
      <c r="E141" s="120"/>
      <c r="F141" s="28"/>
      <c r="G141" s="28"/>
      <c r="H141" s="28"/>
      <c r="I141" s="28"/>
      <c r="J141" s="28"/>
      <c r="K141" s="27"/>
      <c r="L141" s="27"/>
      <c r="M141" s="27"/>
      <c r="N141" s="27"/>
      <c r="O141" s="27"/>
      <c r="P141" s="27"/>
      <c r="Q141" s="27"/>
      <c r="R141" s="27"/>
      <c r="S141" s="27"/>
      <c r="T141" s="27"/>
      <c r="U141" s="27"/>
      <c r="V141" s="27"/>
      <c r="W141" s="27"/>
      <c r="X141" s="27"/>
      <c r="Y141" s="27"/>
      <c r="Z141" s="27"/>
      <c r="AA141" s="27"/>
      <c r="AB141" s="27"/>
      <c r="AC141" s="27"/>
      <c r="AD141" s="27"/>
      <c r="AE141" s="27"/>
      <c r="AF141" s="27"/>
      <c r="AG141" s="27"/>
      <c r="AH141" s="27"/>
    </row>
    <row r="142" spans="4:34" ht="15">
      <c r="D142" s="120"/>
      <c r="E142" s="120"/>
      <c r="F142" s="28"/>
      <c r="G142" s="28"/>
      <c r="H142" s="28"/>
      <c r="I142" s="28"/>
      <c r="J142" s="28"/>
      <c r="K142" s="27"/>
      <c r="L142" s="27"/>
      <c r="M142" s="27"/>
      <c r="N142" s="27"/>
      <c r="O142" s="27"/>
      <c r="P142" s="27"/>
      <c r="Q142" s="27"/>
      <c r="R142" s="27"/>
      <c r="S142" s="27"/>
      <c r="T142" s="27"/>
      <c r="U142" s="27"/>
      <c r="V142" s="27"/>
      <c r="W142" s="27"/>
      <c r="X142" s="27"/>
      <c r="Y142" s="27"/>
      <c r="Z142" s="27"/>
      <c r="AA142" s="27"/>
      <c r="AB142" s="27"/>
      <c r="AC142" s="27"/>
      <c r="AD142" s="27"/>
      <c r="AE142" s="27"/>
      <c r="AF142" s="27"/>
      <c r="AG142" s="27"/>
      <c r="AH142" s="27"/>
    </row>
    <row r="143" spans="4:34" ht="15">
      <c r="D143" s="120"/>
      <c r="E143" s="120"/>
      <c r="F143" s="28"/>
      <c r="G143" s="28"/>
      <c r="H143" s="28"/>
      <c r="I143" s="28"/>
      <c r="J143" s="28"/>
      <c r="K143" s="27"/>
      <c r="L143" s="27"/>
      <c r="M143" s="27"/>
      <c r="N143" s="27"/>
      <c r="O143" s="27"/>
      <c r="P143" s="27"/>
      <c r="Q143" s="27"/>
      <c r="R143" s="27"/>
      <c r="S143" s="27"/>
      <c r="T143" s="27"/>
      <c r="U143" s="27"/>
      <c r="V143" s="27"/>
      <c r="W143" s="27"/>
      <c r="X143" s="27"/>
      <c r="Y143" s="27"/>
      <c r="Z143" s="27"/>
      <c r="AA143" s="27"/>
      <c r="AB143" s="27"/>
      <c r="AC143" s="27"/>
      <c r="AD143" s="27"/>
      <c r="AE143" s="27"/>
      <c r="AF143" s="27"/>
      <c r="AG143" s="27"/>
      <c r="AH143" s="27"/>
    </row>
    <row r="144" spans="4:34" ht="15">
      <c r="D144" s="120"/>
      <c r="E144" s="120"/>
      <c r="F144" s="28"/>
      <c r="G144" s="28"/>
      <c r="H144" s="28"/>
      <c r="I144" s="28"/>
      <c r="J144" s="28"/>
      <c r="K144" s="27"/>
      <c r="L144" s="27"/>
      <c r="M144" s="27"/>
      <c r="N144" s="27"/>
      <c r="O144" s="27"/>
      <c r="P144" s="27"/>
      <c r="Q144" s="27"/>
      <c r="R144" s="27"/>
      <c r="S144" s="27"/>
      <c r="T144" s="27"/>
      <c r="U144" s="27"/>
      <c r="V144" s="27"/>
      <c r="W144" s="27"/>
      <c r="X144" s="27"/>
      <c r="Y144" s="27"/>
      <c r="Z144" s="27"/>
      <c r="AA144" s="27"/>
      <c r="AB144" s="27"/>
      <c r="AC144" s="27"/>
      <c r="AD144" s="27"/>
      <c r="AE144" s="27"/>
      <c r="AF144" s="27"/>
      <c r="AG144" s="27"/>
      <c r="AH144" s="27"/>
    </row>
    <row r="145" spans="4:34" ht="15">
      <c r="D145" s="120"/>
      <c r="E145" s="120"/>
      <c r="F145" s="28"/>
      <c r="G145" s="28"/>
      <c r="H145" s="28"/>
      <c r="I145" s="28"/>
      <c r="J145" s="28"/>
      <c r="K145" s="27"/>
      <c r="L145" s="27"/>
      <c r="M145" s="27"/>
      <c r="N145" s="27"/>
      <c r="O145" s="27"/>
      <c r="P145" s="27"/>
      <c r="Q145" s="27"/>
      <c r="R145" s="27"/>
      <c r="S145" s="27"/>
      <c r="T145" s="27"/>
      <c r="U145" s="27"/>
      <c r="V145" s="27"/>
      <c r="W145" s="27"/>
      <c r="X145" s="27"/>
      <c r="Y145" s="27"/>
      <c r="Z145" s="27"/>
      <c r="AA145" s="27"/>
      <c r="AB145" s="27"/>
      <c r="AC145" s="27"/>
      <c r="AD145" s="27"/>
      <c r="AE145" s="27"/>
      <c r="AF145" s="27"/>
      <c r="AG145" s="27"/>
      <c r="AH145" s="27"/>
    </row>
    <row r="146" spans="4:34" ht="15">
      <c r="D146" s="120"/>
      <c r="E146" s="120"/>
      <c r="F146" s="28"/>
      <c r="G146" s="28"/>
      <c r="H146" s="28"/>
      <c r="I146" s="28"/>
      <c r="J146" s="28"/>
      <c r="K146" s="27"/>
      <c r="L146" s="27"/>
      <c r="M146" s="27"/>
      <c r="N146" s="27"/>
      <c r="O146" s="27"/>
      <c r="P146" s="27"/>
      <c r="Q146" s="27"/>
      <c r="R146" s="27"/>
      <c r="S146" s="27"/>
      <c r="T146" s="27"/>
      <c r="U146" s="27"/>
      <c r="V146" s="27"/>
      <c r="W146" s="27"/>
      <c r="X146" s="27"/>
      <c r="Y146" s="27"/>
      <c r="Z146" s="27"/>
      <c r="AA146" s="27"/>
      <c r="AB146" s="27"/>
      <c r="AC146" s="27"/>
      <c r="AD146" s="27"/>
      <c r="AE146" s="27"/>
      <c r="AF146" s="27"/>
      <c r="AG146" s="27"/>
      <c r="AH146" s="27"/>
    </row>
    <row r="147" spans="4:34" ht="15">
      <c r="D147" s="120"/>
      <c r="E147" s="120"/>
      <c r="F147" s="28"/>
      <c r="G147" s="28"/>
      <c r="H147" s="28"/>
      <c r="I147" s="28"/>
      <c r="J147" s="28"/>
      <c r="K147" s="27"/>
      <c r="L147" s="27"/>
      <c r="M147" s="27"/>
      <c r="N147" s="27"/>
      <c r="O147" s="27"/>
      <c r="P147" s="27"/>
      <c r="Q147" s="27"/>
      <c r="R147" s="27"/>
      <c r="S147" s="27"/>
      <c r="T147" s="27"/>
      <c r="U147" s="27"/>
      <c r="V147" s="27"/>
      <c r="W147" s="27"/>
      <c r="X147" s="27"/>
      <c r="Y147" s="27"/>
      <c r="Z147" s="27"/>
      <c r="AA147" s="27"/>
      <c r="AB147" s="27"/>
      <c r="AC147" s="27"/>
      <c r="AD147" s="27"/>
      <c r="AE147" s="27"/>
      <c r="AF147" s="27"/>
      <c r="AG147" s="27"/>
      <c r="AH147" s="27"/>
    </row>
    <row r="148" spans="4:34" ht="15">
      <c r="D148" s="120"/>
      <c r="E148" s="120"/>
      <c r="F148" s="28"/>
      <c r="G148" s="28"/>
      <c r="H148" s="28"/>
      <c r="I148" s="28"/>
      <c r="J148" s="28"/>
      <c r="K148" s="27"/>
      <c r="L148" s="27"/>
      <c r="M148" s="27"/>
      <c r="N148" s="27"/>
      <c r="O148" s="27"/>
      <c r="P148" s="27"/>
      <c r="Q148" s="27"/>
      <c r="R148" s="27"/>
      <c r="S148" s="27"/>
      <c r="T148" s="27"/>
      <c r="U148" s="27"/>
      <c r="V148" s="27"/>
      <c r="W148" s="27"/>
      <c r="X148" s="27"/>
      <c r="Y148" s="27"/>
      <c r="Z148" s="27"/>
      <c r="AA148" s="27"/>
      <c r="AB148" s="27"/>
      <c r="AC148" s="27"/>
      <c r="AD148" s="27"/>
      <c r="AE148" s="27"/>
      <c r="AF148" s="27"/>
      <c r="AG148" s="27"/>
      <c r="AH148" s="27"/>
    </row>
    <row r="149" spans="4:34" ht="15">
      <c r="D149" s="120"/>
      <c r="E149" s="120"/>
      <c r="F149" s="28"/>
      <c r="G149" s="28"/>
      <c r="H149" s="28"/>
      <c r="I149" s="28"/>
      <c r="J149" s="28"/>
      <c r="K149" s="27"/>
      <c r="L149" s="27"/>
      <c r="M149" s="27"/>
      <c r="N149" s="27"/>
      <c r="O149" s="27"/>
      <c r="P149" s="27"/>
      <c r="Q149" s="27"/>
      <c r="R149" s="27"/>
      <c r="S149" s="27"/>
      <c r="T149" s="27"/>
      <c r="U149" s="27"/>
      <c r="V149" s="27"/>
      <c r="W149" s="27"/>
      <c r="X149" s="27"/>
      <c r="Y149" s="27"/>
      <c r="Z149" s="27"/>
      <c r="AA149" s="27"/>
      <c r="AB149" s="27"/>
      <c r="AC149" s="27"/>
      <c r="AD149" s="27"/>
      <c r="AE149" s="27"/>
      <c r="AF149" s="27"/>
      <c r="AG149" s="27"/>
      <c r="AH149" s="27"/>
    </row>
    <row r="150" spans="4:34" ht="15">
      <c r="D150" s="120"/>
      <c r="E150" s="120"/>
      <c r="F150" s="28"/>
      <c r="G150" s="28"/>
      <c r="H150" s="28"/>
      <c r="I150" s="28"/>
      <c r="J150" s="28"/>
      <c r="K150" s="27"/>
      <c r="L150" s="27"/>
      <c r="M150" s="27"/>
      <c r="N150" s="27"/>
      <c r="O150" s="27"/>
      <c r="P150" s="27"/>
      <c r="Q150" s="27"/>
      <c r="R150" s="27"/>
      <c r="S150" s="27"/>
      <c r="T150" s="27"/>
      <c r="U150" s="27"/>
      <c r="V150" s="27"/>
      <c r="W150" s="27"/>
      <c r="X150" s="27"/>
      <c r="Y150" s="27"/>
      <c r="Z150" s="27"/>
      <c r="AA150" s="27"/>
      <c r="AB150" s="27"/>
      <c r="AC150" s="27"/>
      <c r="AD150" s="27"/>
      <c r="AE150" s="27"/>
      <c r="AF150" s="27"/>
      <c r="AG150" s="27"/>
      <c r="AH150" s="27"/>
    </row>
    <row r="151" spans="4:34" ht="15">
      <c r="D151" s="120"/>
      <c r="E151" s="120"/>
      <c r="F151" s="28"/>
      <c r="G151" s="28"/>
      <c r="H151" s="28"/>
      <c r="I151" s="28"/>
      <c r="J151" s="28"/>
      <c r="K151" s="27"/>
      <c r="L151" s="27"/>
      <c r="M151" s="27"/>
      <c r="N151" s="27"/>
      <c r="O151" s="27"/>
      <c r="P151" s="27"/>
      <c r="Q151" s="27"/>
      <c r="R151" s="27"/>
      <c r="S151" s="27"/>
      <c r="T151" s="27"/>
      <c r="U151" s="27"/>
      <c r="V151" s="27"/>
      <c r="W151" s="27"/>
      <c r="X151" s="27"/>
      <c r="Y151" s="27"/>
      <c r="Z151" s="27"/>
      <c r="AA151" s="27"/>
      <c r="AB151" s="27"/>
      <c r="AC151" s="27"/>
      <c r="AD151" s="27"/>
      <c r="AE151" s="27"/>
      <c r="AF151" s="27"/>
      <c r="AG151" s="27"/>
      <c r="AH151" s="27"/>
    </row>
    <row r="152" spans="4:34" ht="15">
      <c r="D152" s="120"/>
      <c r="E152" s="120"/>
      <c r="F152" s="28"/>
      <c r="G152" s="28"/>
      <c r="H152" s="28"/>
      <c r="I152" s="28"/>
      <c r="J152" s="28"/>
      <c r="K152" s="27"/>
      <c r="L152" s="27"/>
      <c r="M152" s="27"/>
      <c r="N152" s="27"/>
      <c r="O152" s="27"/>
      <c r="P152" s="27"/>
      <c r="Q152" s="27"/>
      <c r="R152" s="27"/>
      <c r="S152" s="27"/>
      <c r="T152" s="27"/>
      <c r="U152" s="27"/>
      <c r="V152" s="27"/>
      <c r="W152" s="27"/>
      <c r="X152" s="27"/>
      <c r="Y152" s="27"/>
      <c r="Z152" s="27"/>
      <c r="AA152" s="27"/>
      <c r="AB152" s="27"/>
      <c r="AC152" s="27"/>
      <c r="AD152" s="27"/>
      <c r="AE152" s="27"/>
      <c r="AF152" s="27"/>
      <c r="AG152" s="27"/>
      <c r="AH152" s="27"/>
    </row>
    <row r="153" spans="4:34" ht="15">
      <c r="D153" s="120"/>
      <c r="E153" s="120"/>
      <c r="F153" s="28"/>
      <c r="G153" s="28"/>
      <c r="H153" s="28"/>
      <c r="I153" s="28"/>
      <c r="J153" s="28"/>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row>
    <row r="154" spans="4:34" ht="15">
      <c r="D154" s="120"/>
      <c r="E154" s="120"/>
      <c r="F154" s="28"/>
      <c r="G154" s="28"/>
      <c r="H154" s="28"/>
      <c r="I154" s="28"/>
      <c r="J154" s="28"/>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row>
    <row r="155" spans="4:34" ht="15">
      <c r="D155" s="120"/>
      <c r="E155" s="120"/>
      <c r="F155" s="28"/>
      <c r="G155" s="28"/>
      <c r="H155" s="28"/>
      <c r="I155" s="28"/>
      <c r="J155" s="28"/>
      <c r="K155" s="27"/>
      <c r="L155" s="27"/>
      <c r="M155" s="27"/>
      <c r="N155" s="27"/>
      <c r="O155" s="27"/>
      <c r="P155" s="27"/>
      <c r="Q155" s="27"/>
      <c r="R155" s="27"/>
      <c r="S155" s="27"/>
      <c r="T155" s="27"/>
      <c r="U155" s="27"/>
      <c r="V155" s="27"/>
      <c r="W155" s="27"/>
      <c r="X155" s="27"/>
      <c r="Y155" s="27"/>
      <c r="Z155" s="27"/>
      <c r="AA155" s="27"/>
      <c r="AB155" s="27"/>
      <c r="AC155" s="27"/>
      <c r="AD155" s="27"/>
      <c r="AE155" s="27"/>
      <c r="AF155" s="27"/>
      <c r="AG155" s="27"/>
      <c r="AH155" s="27"/>
    </row>
    <row r="156" spans="4:34" ht="15">
      <c r="D156" s="120"/>
      <c r="E156" s="120"/>
      <c r="F156" s="28"/>
      <c r="G156" s="28"/>
      <c r="H156" s="28"/>
      <c r="I156" s="28"/>
      <c r="J156" s="28"/>
      <c r="K156" s="27"/>
      <c r="L156" s="27"/>
      <c r="M156" s="27"/>
      <c r="N156" s="27"/>
      <c r="O156" s="27"/>
      <c r="P156" s="27"/>
      <c r="Q156" s="27"/>
      <c r="R156" s="27"/>
      <c r="S156" s="27"/>
      <c r="T156" s="27"/>
      <c r="U156" s="27"/>
      <c r="V156" s="27"/>
      <c r="W156" s="27"/>
      <c r="X156" s="27"/>
      <c r="Y156" s="27"/>
      <c r="Z156" s="27"/>
      <c r="AA156" s="27"/>
      <c r="AB156" s="27"/>
      <c r="AC156" s="27"/>
      <c r="AD156" s="27"/>
      <c r="AE156" s="27"/>
      <c r="AF156" s="27"/>
      <c r="AG156" s="27"/>
      <c r="AH156" s="27"/>
    </row>
    <row r="157" spans="4:34" ht="15">
      <c r="D157" s="120"/>
      <c r="E157" s="120"/>
      <c r="F157" s="28"/>
      <c r="G157" s="28"/>
      <c r="H157" s="28"/>
      <c r="I157" s="28"/>
      <c r="J157" s="28"/>
      <c r="K157" s="27"/>
      <c r="L157" s="27"/>
      <c r="M157" s="27"/>
      <c r="N157" s="27"/>
      <c r="O157" s="27"/>
      <c r="P157" s="27"/>
      <c r="Q157" s="27"/>
      <c r="R157" s="27"/>
      <c r="S157" s="27"/>
      <c r="T157" s="27"/>
      <c r="U157" s="27"/>
      <c r="V157" s="27"/>
      <c r="W157" s="27"/>
      <c r="X157" s="27"/>
      <c r="Y157" s="27"/>
      <c r="Z157" s="27"/>
      <c r="AA157" s="27"/>
      <c r="AB157" s="27"/>
      <c r="AC157" s="27"/>
      <c r="AD157" s="27"/>
      <c r="AE157" s="27"/>
      <c r="AF157" s="27"/>
      <c r="AG157" s="27"/>
      <c r="AH157" s="27"/>
    </row>
    <row r="158" spans="4:34" ht="15">
      <c r="D158" s="120"/>
      <c r="E158" s="120"/>
      <c r="F158" s="28"/>
      <c r="G158" s="28"/>
      <c r="H158" s="28"/>
      <c r="I158" s="28"/>
      <c r="J158" s="28"/>
      <c r="K158" s="27"/>
      <c r="L158" s="27"/>
      <c r="M158" s="27"/>
      <c r="N158" s="27"/>
      <c r="O158" s="27"/>
      <c r="P158" s="27"/>
      <c r="Q158" s="27"/>
      <c r="R158" s="27"/>
      <c r="S158" s="27"/>
      <c r="T158" s="27"/>
      <c r="U158" s="27"/>
      <c r="V158" s="27"/>
      <c r="W158" s="27"/>
      <c r="X158" s="27"/>
      <c r="Y158" s="27"/>
      <c r="Z158" s="27"/>
      <c r="AA158" s="27"/>
      <c r="AB158" s="27"/>
      <c r="AC158" s="27"/>
      <c r="AD158" s="27"/>
      <c r="AE158" s="27"/>
      <c r="AF158" s="27"/>
      <c r="AG158" s="27"/>
      <c r="AH158" s="27"/>
    </row>
    <row r="159" spans="4:34" ht="15">
      <c r="D159" s="120"/>
      <c r="E159" s="120"/>
      <c r="F159" s="28"/>
      <c r="G159" s="28"/>
      <c r="H159" s="28"/>
      <c r="I159" s="28"/>
      <c r="J159" s="28"/>
      <c r="K159" s="27"/>
      <c r="L159" s="27"/>
      <c r="M159" s="27"/>
      <c r="N159" s="27"/>
      <c r="O159" s="27"/>
      <c r="P159" s="27"/>
      <c r="Q159" s="27"/>
      <c r="R159" s="27"/>
      <c r="S159" s="27"/>
      <c r="T159" s="27"/>
      <c r="U159" s="27"/>
      <c r="V159" s="27"/>
      <c r="W159" s="27"/>
      <c r="X159" s="27"/>
      <c r="Y159" s="27"/>
      <c r="Z159" s="27"/>
      <c r="AA159" s="27"/>
      <c r="AB159" s="27"/>
      <c r="AC159" s="27"/>
      <c r="AD159" s="27"/>
      <c r="AE159" s="27"/>
      <c r="AF159" s="27"/>
      <c r="AG159" s="27"/>
      <c r="AH159" s="27"/>
    </row>
    <row r="160" spans="4:34" ht="15">
      <c r="D160" s="120"/>
      <c r="E160" s="120"/>
      <c r="F160" s="28"/>
      <c r="G160" s="28"/>
      <c r="H160" s="28"/>
      <c r="I160" s="28"/>
      <c r="J160" s="28"/>
      <c r="K160" s="27"/>
      <c r="L160" s="27"/>
      <c r="M160" s="27"/>
      <c r="N160" s="27"/>
      <c r="O160" s="27"/>
      <c r="P160" s="27"/>
      <c r="Q160" s="27"/>
      <c r="R160" s="27"/>
      <c r="S160" s="27"/>
      <c r="T160" s="27"/>
      <c r="U160" s="27"/>
      <c r="V160" s="27"/>
      <c r="W160" s="27"/>
      <c r="X160" s="27"/>
      <c r="Y160" s="27"/>
      <c r="Z160" s="27"/>
      <c r="AA160" s="27"/>
      <c r="AB160" s="27"/>
      <c r="AC160" s="27"/>
      <c r="AD160" s="27"/>
      <c r="AE160" s="27"/>
      <c r="AF160" s="27"/>
      <c r="AG160" s="27"/>
      <c r="AH160" s="27"/>
    </row>
    <row r="161" spans="4:34" ht="15">
      <c r="D161" s="120"/>
      <c r="E161" s="120"/>
      <c r="F161" s="28"/>
      <c r="G161" s="28"/>
      <c r="H161" s="28"/>
      <c r="I161" s="28"/>
      <c r="J161" s="28"/>
      <c r="K161" s="27"/>
      <c r="L161" s="27"/>
      <c r="M161" s="27"/>
      <c r="N161" s="27"/>
      <c r="O161" s="27"/>
      <c r="P161" s="27"/>
      <c r="Q161" s="27"/>
      <c r="R161" s="27"/>
      <c r="S161" s="27"/>
      <c r="T161" s="27"/>
      <c r="U161" s="27"/>
      <c r="V161" s="27"/>
      <c r="W161" s="27"/>
      <c r="X161" s="27"/>
      <c r="Y161" s="27"/>
      <c r="Z161" s="27"/>
      <c r="AA161" s="27"/>
      <c r="AB161" s="27"/>
      <c r="AC161" s="27"/>
      <c r="AD161" s="27"/>
      <c r="AE161" s="27"/>
      <c r="AF161" s="27"/>
      <c r="AG161" s="27"/>
      <c r="AH161" s="27"/>
    </row>
    <row r="162" spans="4:34" ht="15">
      <c r="D162" s="120"/>
      <c r="E162" s="120"/>
      <c r="F162" s="28"/>
      <c r="G162" s="28"/>
      <c r="H162" s="28"/>
      <c r="I162" s="28"/>
      <c r="J162" s="28"/>
      <c r="K162" s="27"/>
      <c r="L162" s="27"/>
      <c r="M162" s="27"/>
      <c r="N162" s="27"/>
      <c r="O162" s="27"/>
      <c r="P162" s="27"/>
      <c r="Q162" s="27"/>
      <c r="R162" s="27"/>
      <c r="S162" s="27"/>
      <c r="T162" s="27"/>
      <c r="U162" s="27"/>
      <c r="V162" s="27"/>
      <c r="W162" s="27"/>
      <c r="X162" s="27"/>
      <c r="Y162" s="27"/>
      <c r="Z162" s="27"/>
      <c r="AA162" s="27"/>
      <c r="AB162" s="27"/>
      <c r="AC162" s="27"/>
      <c r="AD162" s="27"/>
      <c r="AE162" s="27"/>
      <c r="AF162" s="27"/>
      <c r="AG162" s="27"/>
      <c r="AH162" s="27"/>
    </row>
    <row r="163" spans="4:34" ht="15">
      <c r="D163" s="120"/>
      <c r="E163" s="120"/>
      <c r="F163" s="28"/>
      <c r="G163" s="28"/>
      <c r="H163" s="28"/>
      <c r="I163" s="28"/>
      <c r="J163" s="28"/>
      <c r="K163" s="27"/>
      <c r="L163" s="27"/>
      <c r="M163" s="27"/>
      <c r="N163" s="27"/>
      <c r="O163" s="27"/>
      <c r="P163" s="27"/>
      <c r="Q163" s="27"/>
      <c r="R163" s="27"/>
      <c r="S163" s="27"/>
      <c r="T163" s="27"/>
      <c r="U163" s="27"/>
      <c r="V163" s="27"/>
      <c r="W163" s="27"/>
      <c r="X163" s="27"/>
      <c r="Y163" s="27"/>
      <c r="Z163" s="27"/>
      <c r="AA163" s="27"/>
      <c r="AB163" s="27"/>
      <c r="AC163" s="27"/>
      <c r="AD163" s="27"/>
      <c r="AE163" s="27"/>
      <c r="AF163" s="27"/>
      <c r="AG163" s="27"/>
      <c r="AH163" s="27"/>
    </row>
    <row r="164" spans="4:34" ht="15">
      <c r="D164" s="120"/>
      <c r="E164" s="120"/>
      <c r="F164" s="28"/>
      <c r="G164" s="28"/>
      <c r="H164" s="28"/>
      <c r="I164" s="28"/>
      <c r="J164" s="28"/>
      <c r="K164" s="27"/>
      <c r="L164" s="27"/>
      <c r="M164" s="27"/>
      <c r="N164" s="27"/>
      <c r="O164" s="27"/>
      <c r="P164" s="27"/>
      <c r="Q164" s="27"/>
      <c r="R164" s="27"/>
      <c r="S164" s="27"/>
      <c r="T164" s="27"/>
      <c r="U164" s="27"/>
      <c r="V164" s="27"/>
      <c r="W164" s="27"/>
      <c r="X164" s="27"/>
      <c r="Y164" s="27"/>
      <c r="Z164" s="27"/>
      <c r="AA164" s="27"/>
      <c r="AB164" s="27"/>
      <c r="AC164" s="27"/>
      <c r="AD164" s="27"/>
      <c r="AE164" s="27"/>
      <c r="AF164" s="27"/>
      <c r="AG164" s="27"/>
      <c r="AH164" s="27"/>
    </row>
    <row r="165" spans="4:34" ht="15">
      <c r="D165" s="120"/>
      <c r="E165" s="120"/>
      <c r="F165" s="28"/>
      <c r="G165" s="28"/>
      <c r="H165" s="28"/>
      <c r="I165" s="28"/>
      <c r="J165" s="28"/>
      <c r="K165" s="27"/>
      <c r="L165" s="27"/>
      <c r="M165" s="27"/>
      <c r="N165" s="27"/>
      <c r="O165" s="27"/>
      <c r="P165" s="27"/>
      <c r="Q165" s="27"/>
      <c r="R165" s="27"/>
      <c r="S165" s="27"/>
      <c r="T165" s="27"/>
      <c r="U165" s="27"/>
      <c r="V165" s="27"/>
      <c r="W165" s="27"/>
      <c r="X165" s="27"/>
      <c r="Y165" s="27"/>
      <c r="Z165" s="27"/>
      <c r="AA165" s="27"/>
      <c r="AB165" s="27"/>
      <c r="AC165" s="27"/>
      <c r="AD165" s="27"/>
      <c r="AE165" s="27"/>
      <c r="AF165" s="27"/>
      <c r="AG165" s="27"/>
      <c r="AH165" s="27"/>
    </row>
    <row r="166" spans="4:34" ht="15">
      <c r="D166" s="120"/>
      <c r="E166" s="120"/>
      <c r="F166" s="28"/>
      <c r="G166" s="28"/>
      <c r="H166" s="28"/>
      <c r="I166" s="28"/>
      <c r="J166" s="28"/>
      <c r="K166" s="27"/>
      <c r="L166" s="27"/>
      <c r="M166" s="27"/>
      <c r="N166" s="27"/>
      <c r="O166" s="27"/>
      <c r="P166" s="27"/>
      <c r="Q166" s="27"/>
      <c r="R166" s="27"/>
      <c r="S166" s="27"/>
      <c r="T166" s="27"/>
      <c r="U166" s="27"/>
      <c r="V166" s="27"/>
      <c r="W166" s="27"/>
      <c r="X166" s="27"/>
      <c r="Y166" s="27"/>
      <c r="Z166" s="27"/>
      <c r="AA166" s="27"/>
      <c r="AB166" s="27"/>
      <c r="AC166" s="27"/>
      <c r="AD166" s="27"/>
      <c r="AE166" s="27"/>
      <c r="AF166" s="27"/>
      <c r="AG166" s="27"/>
      <c r="AH166" s="27"/>
    </row>
    <row r="167" spans="4:34" ht="15">
      <c r="D167" s="120"/>
      <c r="E167" s="120"/>
      <c r="F167" s="28"/>
      <c r="G167" s="28"/>
      <c r="H167" s="28"/>
      <c r="I167" s="28"/>
      <c r="J167" s="28"/>
      <c r="K167" s="27"/>
      <c r="L167" s="27"/>
      <c r="M167" s="27"/>
      <c r="N167" s="27"/>
      <c r="O167" s="27"/>
      <c r="P167" s="27"/>
      <c r="Q167" s="27"/>
      <c r="R167" s="27"/>
      <c r="S167" s="27"/>
      <c r="T167" s="27"/>
      <c r="U167" s="27"/>
      <c r="V167" s="27"/>
      <c r="W167" s="27"/>
      <c r="X167" s="27"/>
      <c r="Y167" s="27"/>
      <c r="Z167" s="27"/>
      <c r="AA167" s="27"/>
      <c r="AB167" s="27"/>
      <c r="AC167" s="27"/>
      <c r="AD167" s="27"/>
      <c r="AE167" s="27"/>
      <c r="AF167" s="27"/>
      <c r="AG167" s="27"/>
      <c r="AH167" s="27"/>
    </row>
    <row r="168" spans="4:34" ht="15">
      <c r="D168" s="120"/>
      <c r="E168" s="120"/>
      <c r="F168" s="28"/>
      <c r="G168" s="28"/>
      <c r="H168" s="28"/>
      <c r="I168" s="28"/>
      <c r="J168" s="28"/>
      <c r="K168" s="27"/>
      <c r="L168" s="27"/>
      <c r="M168" s="27"/>
      <c r="N168" s="27"/>
      <c r="O168" s="27"/>
      <c r="P168" s="27"/>
      <c r="Q168" s="27"/>
      <c r="R168" s="27"/>
      <c r="S168" s="27"/>
      <c r="T168" s="27"/>
      <c r="U168" s="27"/>
      <c r="V168" s="27"/>
      <c r="W168" s="27"/>
      <c r="X168" s="27"/>
      <c r="Y168" s="27"/>
      <c r="Z168" s="27"/>
      <c r="AA168" s="27"/>
      <c r="AB168" s="27"/>
      <c r="AC168" s="27"/>
      <c r="AD168" s="27"/>
      <c r="AE168" s="27"/>
      <c r="AF168" s="27"/>
      <c r="AG168" s="27"/>
      <c r="AH168" s="27"/>
    </row>
    <row r="169" spans="4:34" ht="15">
      <c r="D169" s="120"/>
      <c r="E169" s="120"/>
      <c r="F169" s="28"/>
      <c r="G169" s="28"/>
      <c r="H169" s="28"/>
      <c r="I169" s="28"/>
      <c r="J169" s="28"/>
      <c r="K169" s="27"/>
      <c r="L169" s="27"/>
      <c r="M169" s="27"/>
      <c r="N169" s="27"/>
      <c r="O169" s="27"/>
      <c r="P169" s="27"/>
      <c r="Q169" s="27"/>
      <c r="R169" s="27"/>
      <c r="S169" s="27"/>
      <c r="T169" s="27"/>
      <c r="U169" s="27"/>
      <c r="V169" s="27"/>
      <c r="W169" s="27"/>
      <c r="X169" s="27"/>
      <c r="Y169" s="27"/>
      <c r="Z169" s="27"/>
      <c r="AA169" s="27"/>
      <c r="AB169" s="27"/>
      <c r="AC169" s="27"/>
      <c r="AD169" s="27"/>
      <c r="AE169" s="27"/>
      <c r="AF169" s="27"/>
      <c r="AG169" s="27"/>
      <c r="AH169" s="27"/>
    </row>
    <row r="170" spans="4:34" ht="15">
      <c r="D170" s="120"/>
      <c r="E170" s="120"/>
      <c r="F170" s="28"/>
      <c r="G170" s="28"/>
      <c r="H170" s="28"/>
      <c r="I170" s="28"/>
      <c r="J170" s="28"/>
      <c r="K170" s="27"/>
      <c r="L170" s="27"/>
      <c r="M170" s="27"/>
      <c r="N170" s="27"/>
      <c r="O170" s="27"/>
      <c r="P170" s="27"/>
      <c r="Q170" s="27"/>
      <c r="R170" s="27"/>
      <c r="S170" s="27"/>
      <c r="T170" s="27"/>
      <c r="U170" s="27"/>
      <c r="V170" s="27"/>
      <c r="W170" s="27"/>
      <c r="X170" s="27"/>
      <c r="Y170" s="27"/>
      <c r="Z170" s="27"/>
      <c r="AA170" s="27"/>
      <c r="AB170" s="27"/>
      <c r="AC170" s="27"/>
      <c r="AD170" s="27"/>
      <c r="AE170" s="27"/>
      <c r="AF170" s="27"/>
      <c r="AG170" s="27"/>
      <c r="AH170" s="27"/>
    </row>
    <row r="171" spans="4:34" ht="15">
      <c r="D171" s="120"/>
      <c r="E171" s="120"/>
      <c r="F171" s="28"/>
      <c r="G171" s="28"/>
      <c r="H171" s="28"/>
      <c r="I171" s="28"/>
      <c r="J171" s="28"/>
      <c r="K171" s="27"/>
      <c r="L171" s="27"/>
      <c r="M171" s="27"/>
      <c r="N171" s="27"/>
      <c r="O171" s="27"/>
      <c r="P171" s="27"/>
      <c r="Q171" s="27"/>
      <c r="R171" s="27"/>
      <c r="S171" s="27"/>
      <c r="T171" s="27"/>
      <c r="U171" s="27"/>
      <c r="V171" s="27"/>
      <c r="W171" s="27"/>
      <c r="X171" s="27"/>
      <c r="Y171" s="27"/>
      <c r="Z171" s="27"/>
      <c r="AA171" s="27"/>
      <c r="AB171" s="27"/>
      <c r="AC171" s="27"/>
      <c r="AD171" s="27"/>
      <c r="AE171" s="27"/>
      <c r="AF171" s="27"/>
      <c r="AG171" s="27"/>
      <c r="AH171" s="27"/>
    </row>
    <row r="172" spans="4:34" ht="15">
      <c r="D172" s="120"/>
      <c r="E172" s="120"/>
      <c r="F172" s="28"/>
      <c r="G172" s="28"/>
      <c r="H172" s="28"/>
      <c r="I172" s="28"/>
      <c r="J172" s="28"/>
      <c r="K172" s="27"/>
      <c r="L172" s="27"/>
      <c r="M172" s="27"/>
      <c r="N172" s="27"/>
      <c r="O172" s="27"/>
      <c r="P172" s="27"/>
      <c r="Q172" s="27"/>
      <c r="R172" s="27"/>
      <c r="S172" s="27"/>
      <c r="T172" s="27"/>
      <c r="U172" s="27"/>
      <c r="V172" s="27"/>
      <c r="W172" s="27"/>
      <c r="X172" s="27"/>
      <c r="Y172" s="27"/>
      <c r="Z172" s="27"/>
      <c r="AA172" s="27"/>
      <c r="AB172" s="27"/>
      <c r="AC172" s="27"/>
      <c r="AD172" s="27"/>
      <c r="AE172" s="27"/>
      <c r="AF172" s="27"/>
      <c r="AG172" s="27"/>
      <c r="AH172" s="27"/>
    </row>
    <row r="173" spans="4:34" ht="15">
      <c r="D173" s="120"/>
      <c r="E173" s="120"/>
      <c r="F173" s="28"/>
      <c r="G173" s="28"/>
      <c r="H173" s="28"/>
      <c r="I173" s="28"/>
      <c r="J173" s="28"/>
      <c r="K173" s="27"/>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27"/>
    </row>
    <row r="174" spans="4:34" ht="15">
      <c r="D174" s="120"/>
      <c r="E174" s="120"/>
      <c r="F174" s="28"/>
      <c r="G174" s="28"/>
      <c r="H174" s="28"/>
      <c r="I174" s="28"/>
      <c r="J174" s="28"/>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7"/>
      <c r="AH174" s="27"/>
    </row>
    <row r="175" spans="4:34" ht="15">
      <c r="D175" s="120"/>
      <c r="E175" s="120"/>
      <c r="F175" s="28"/>
      <c r="G175" s="28"/>
      <c r="H175" s="28"/>
      <c r="I175" s="28"/>
      <c r="J175" s="28"/>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7"/>
      <c r="AH175" s="27"/>
    </row>
    <row r="176" spans="4:34" ht="15">
      <c r="D176" s="120"/>
      <c r="E176" s="120"/>
      <c r="F176" s="28"/>
      <c r="G176" s="28"/>
      <c r="H176" s="28"/>
      <c r="I176" s="28"/>
      <c r="J176" s="28"/>
      <c r="K176" s="27"/>
      <c r="L176" s="27"/>
      <c r="M176" s="27"/>
      <c r="N176" s="27"/>
      <c r="O176" s="27"/>
      <c r="P176" s="27"/>
      <c r="Q176" s="27"/>
      <c r="R176" s="27"/>
      <c r="S176" s="27"/>
      <c r="T176" s="27"/>
      <c r="U176" s="27"/>
      <c r="V176" s="27"/>
      <c r="W176" s="27"/>
      <c r="X176" s="27"/>
      <c r="Y176" s="27"/>
      <c r="Z176" s="27"/>
      <c r="AA176" s="27"/>
      <c r="AB176" s="27"/>
      <c r="AC176" s="27"/>
      <c r="AD176" s="27"/>
      <c r="AE176" s="27"/>
      <c r="AF176" s="27"/>
      <c r="AG176" s="27"/>
      <c r="AH176" s="27"/>
    </row>
    <row r="177" spans="4:34" ht="15">
      <c r="D177" s="120"/>
      <c r="E177" s="120"/>
      <c r="F177" s="28"/>
      <c r="G177" s="28"/>
      <c r="H177" s="28"/>
      <c r="I177" s="28"/>
      <c r="J177" s="28"/>
      <c r="K177" s="27"/>
      <c r="L177" s="27"/>
      <c r="M177" s="27"/>
      <c r="N177" s="27"/>
      <c r="O177" s="27"/>
      <c r="P177" s="27"/>
      <c r="Q177" s="27"/>
      <c r="R177" s="27"/>
      <c r="S177" s="27"/>
      <c r="T177" s="27"/>
      <c r="U177" s="27"/>
      <c r="V177" s="27"/>
      <c r="W177" s="27"/>
      <c r="X177" s="27"/>
      <c r="Y177" s="27"/>
      <c r="Z177" s="27"/>
      <c r="AA177" s="27"/>
      <c r="AB177" s="27"/>
      <c r="AC177" s="27"/>
      <c r="AD177" s="27"/>
      <c r="AE177" s="27"/>
      <c r="AF177" s="27"/>
      <c r="AG177" s="27"/>
      <c r="AH177" s="27"/>
    </row>
    <row r="178" spans="4:34" ht="15">
      <c r="D178" s="120"/>
      <c r="E178" s="120"/>
      <c r="F178" s="28"/>
      <c r="G178" s="28"/>
      <c r="H178" s="28"/>
      <c r="I178" s="28"/>
      <c r="J178" s="28"/>
      <c r="K178" s="27"/>
      <c r="L178" s="27"/>
      <c r="M178" s="27"/>
      <c r="N178" s="27"/>
      <c r="O178" s="27"/>
      <c r="P178" s="27"/>
      <c r="Q178" s="27"/>
      <c r="R178" s="27"/>
      <c r="S178" s="27"/>
      <c r="T178" s="27"/>
      <c r="U178" s="27"/>
      <c r="V178" s="27"/>
      <c r="W178" s="27"/>
      <c r="X178" s="27"/>
      <c r="Y178" s="27"/>
      <c r="Z178" s="27"/>
      <c r="AA178" s="27"/>
      <c r="AB178" s="27"/>
      <c r="AC178" s="27"/>
      <c r="AD178" s="27"/>
      <c r="AE178" s="27"/>
      <c r="AF178" s="27"/>
      <c r="AG178" s="27"/>
      <c r="AH178" s="27"/>
    </row>
    <row r="179" spans="4:34" ht="15">
      <c r="D179" s="120"/>
      <c r="E179" s="120"/>
      <c r="F179" s="28"/>
      <c r="G179" s="28"/>
      <c r="H179" s="28"/>
      <c r="I179" s="28"/>
      <c r="J179" s="28"/>
      <c r="K179" s="27"/>
      <c r="L179" s="27"/>
      <c r="M179" s="27"/>
      <c r="N179" s="27"/>
      <c r="O179" s="27"/>
      <c r="P179" s="27"/>
      <c r="Q179" s="27"/>
      <c r="R179" s="27"/>
      <c r="S179" s="27"/>
      <c r="T179" s="27"/>
      <c r="U179" s="27"/>
      <c r="V179" s="27"/>
      <c r="W179" s="27"/>
      <c r="X179" s="27"/>
      <c r="Y179" s="27"/>
      <c r="Z179" s="27"/>
      <c r="AA179" s="27"/>
      <c r="AB179" s="27"/>
      <c r="AC179" s="27"/>
      <c r="AD179" s="27"/>
      <c r="AE179" s="27"/>
      <c r="AF179" s="27"/>
      <c r="AG179" s="27"/>
      <c r="AH179" s="27"/>
    </row>
    <row r="180" spans="4:34" ht="15">
      <c r="D180" s="120"/>
      <c r="E180" s="120"/>
      <c r="F180" s="28"/>
      <c r="G180" s="28"/>
      <c r="H180" s="28"/>
      <c r="I180" s="28"/>
      <c r="J180" s="28"/>
      <c r="K180" s="27"/>
      <c r="L180" s="27"/>
      <c r="M180" s="27"/>
      <c r="N180" s="27"/>
      <c r="O180" s="27"/>
      <c r="P180" s="27"/>
      <c r="Q180" s="27"/>
      <c r="R180" s="27"/>
      <c r="S180" s="27"/>
      <c r="T180" s="27"/>
      <c r="U180" s="27"/>
      <c r="V180" s="27"/>
      <c r="W180" s="27"/>
      <c r="X180" s="27"/>
      <c r="Y180" s="27"/>
      <c r="Z180" s="27"/>
      <c r="AA180" s="27"/>
      <c r="AB180" s="27"/>
      <c r="AC180" s="27"/>
      <c r="AD180" s="27"/>
      <c r="AE180" s="27"/>
      <c r="AF180" s="27"/>
      <c r="AG180" s="27"/>
      <c r="AH180" s="27"/>
    </row>
    <row r="181" spans="4:34" ht="15">
      <c r="D181" s="120"/>
      <c r="E181" s="120"/>
      <c r="F181" s="28"/>
      <c r="G181" s="28"/>
      <c r="H181" s="28"/>
      <c r="I181" s="28"/>
      <c r="J181" s="28"/>
      <c r="K181" s="27"/>
      <c r="L181" s="27"/>
      <c r="M181" s="27"/>
      <c r="N181" s="27"/>
      <c r="O181" s="27"/>
      <c r="P181" s="27"/>
      <c r="Q181" s="27"/>
      <c r="R181" s="27"/>
      <c r="S181" s="27"/>
      <c r="T181" s="27"/>
      <c r="U181" s="27"/>
      <c r="V181" s="27"/>
      <c r="W181" s="27"/>
      <c r="X181" s="27"/>
      <c r="Y181" s="27"/>
      <c r="Z181" s="27"/>
      <c r="AA181" s="27"/>
      <c r="AB181" s="27"/>
      <c r="AC181" s="27"/>
      <c r="AD181" s="27"/>
      <c r="AE181" s="27"/>
      <c r="AF181" s="27"/>
      <c r="AG181" s="27"/>
      <c r="AH181" s="27"/>
    </row>
    <row r="182" spans="4:34" ht="15">
      <c r="D182" s="120"/>
      <c r="E182" s="120"/>
      <c r="F182" s="28"/>
      <c r="G182" s="28"/>
      <c r="H182" s="28"/>
      <c r="I182" s="28"/>
      <c r="J182" s="28"/>
      <c r="K182" s="27"/>
      <c r="L182" s="27"/>
      <c r="M182" s="27"/>
      <c r="N182" s="27"/>
      <c r="O182" s="27"/>
      <c r="P182" s="27"/>
      <c r="Q182" s="27"/>
      <c r="R182" s="27"/>
      <c r="S182" s="27"/>
      <c r="T182" s="27"/>
      <c r="U182" s="27"/>
      <c r="V182" s="27"/>
      <c r="W182" s="27"/>
      <c r="X182" s="27"/>
      <c r="Y182" s="27"/>
      <c r="Z182" s="27"/>
      <c r="AA182" s="27"/>
      <c r="AB182" s="27"/>
      <c r="AC182" s="27"/>
      <c r="AD182" s="27"/>
      <c r="AE182" s="27"/>
      <c r="AF182" s="27"/>
      <c r="AG182" s="27"/>
      <c r="AH182" s="27"/>
    </row>
    <row r="183" spans="4:34" ht="15">
      <c r="D183" s="120"/>
      <c r="E183" s="120"/>
      <c r="F183" s="28"/>
      <c r="G183" s="28"/>
      <c r="H183" s="28"/>
      <c r="I183" s="28"/>
      <c r="J183" s="28"/>
      <c r="K183" s="27"/>
      <c r="L183" s="27"/>
      <c r="M183" s="27"/>
      <c r="N183" s="27"/>
      <c r="O183" s="27"/>
      <c r="P183" s="27"/>
      <c r="Q183" s="27"/>
      <c r="R183" s="27"/>
      <c r="S183" s="27"/>
      <c r="T183" s="27"/>
      <c r="U183" s="27"/>
      <c r="V183" s="27"/>
      <c r="W183" s="27"/>
      <c r="X183" s="27"/>
      <c r="Y183" s="27"/>
      <c r="Z183" s="27"/>
      <c r="AA183" s="27"/>
      <c r="AB183" s="27"/>
      <c r="AC183" s="27"/>
      <c r="AD183" s="27"/>
      <c r="AE183" s="27"/>
      <c r="AF183" s="27"/>
      <c r="AG183" s="27"/>
      <c r="AH183" s="27"/>
    </row>
    <row r="184" spans="4:34" ht="15">
      <c r="D184" s="120"/>
      <c r="E184" s="120"/>
      <c r="F184" s="28"/>
      <c r="G184" s="28"/>
      <c r="H184" s="28"/>
      <c r="I184" s="28"/>
      <c r="J184" s="28"/>
      <c r="K184" s="27"/>
      <c r="L184" s="27"/>
      <c r="M184" s="27"/>
      <c r="N184" s="27"/>
      <c r="O184" s="27"/>
      <c r="P184" s="27"/>
      <c r="Q184" s="27"/>
      <c r="R184" s="27"/>
      <c r="S184" s="27"/>
      <c r="T184" s="27"/>
      <c r="U184" s="27"/>
      <c r="V184" s="27"/>
      <c r="W184" s="27"/>
      <c r="X184" s="27"/>
      <c r="Y184" s="27"/>
      <c r="Z184" s="27"/>
      <c r="AA184" s="27"/>
      <c r="AB184" s="27"/>
      <c r="AC184" s="27"/>
      <c r="AD184" s="27"/>
      <c r="AE184" s="27"/>
      <c r="AF184" s="27"/>
      <c r="AG184" s="27"/>
      <c r="AH184" s="27"/>
    </row>
    <row r="185" spans="4:34" ht="15">
      <c r="D185" s="120"/>
      <c r="E185" s="120"/>
      <c r="F185" s="28"/>
      <c r="G185" s="28"/>
      <c r="H185" s="28"/>
      <c r="I185" s="28"/>
      <c r="J185" s="28"/>
      <c r="K185" s="27"/>
      <c r="L185" s="27"/>
      <c r="M185" s="27"/>
      <c r="N185" s="27"/>
      <c r="O185" s="27"/>
      <c r="P185" s="27"/>
      <c r="Q185" s="27"/>
      <c r="R185" s="27"/>
      <c r="S185" s="27"/>
      <c r="T185" s="27"/>
      <c r="U185" s="27"/>
      <c r="V185" s="27"/>
      <c r="W185" s="27"/>
      <c r="X185" s="27"/>
      <c r="Y185" s="27"/>
      <c r="Z185" s="27"/>
      <c r="AA185" s="27"/>
      <c r="AB185" s="27"/>
      <c r="AC185" s="27"/>
      <c r="AD185" s="27"/>
      <c r="AE185" s="27"/>
      <c r="AF185" s="27"/>
      <c r="AG185" s="27"/>
      <c r="AH185" s="27"/>
    </row>
    <row r="186" spans="4:34" ht="15">
      <c r="D186" s="120"/>
      <c r="E186" s="120"/>
      <c r="F186" s="28"/>
      <c r="G186" s="28"/>
      <c r="H186" s="28"/>
      <c r="I186" s="28"/>
      <c r="J186" s="28"/>
      <c r="K186" s="27"/>
      <c r="L186" s="27"/>
      <c r="M186" s="27"/>
      <c r="N186" s="27"/>
      <c r="O186" s="27"/>
      <c r="P186" s="27"/>
      <c r="Q186" s="27"/>
      <c r="R186" s="27"/>
      <c r="S186" s="27"/>
      <c r="T186" s="27"/>
      <c r="U186" s="27"/>
      <c r="V186" s="27"/>
      <c r="W186" s="27"/>
      <c r="X186" s="27"/>
      <c r="Y186" s="27"/>
      <c r="Z186" s="27"/>
      <c r="AA186" s="27"/>
      <c r="AB186" s="27"/>
      <c r="AC186" s="27"/>
      <c r="AD186" s="27"/>
      <c r="AE186" s="27"/>
      <c r="AF186" s="27"/>
      <c r="AG186" s="27"/>
      <c r="AH186" s="27"/>
    </row>
    <row r="187" spans="4:34" ht="15">
      <c r="D187" s="120"/>
      <c r="E187" s="120"/>
      <c r="F187" s="28"/>
      <c r="G187" s="28"/>
      <c r="H187" s="28"/>
      <c r="I187" s="28"/>
      <c r="J187" s="28"/>
      <c r="K187" s="27"/>
      <c r="L187" s="27"/>
      <c r="M187" s="27"/>
      <c r="N187" s="27"/>
      <c r="O187" s="27"/>
      <c r="P187" s="27"/>
      <c r="Q187" s="27"/>
      <c r="R187" s="27"/>
      <c r="S187" s="27"/>
      <c r="T187" s="27"/>
      <c r="U187" s="27"/>
      <c r="V187" s="27"/>
      <c r="W187" s="27"/>
      <c r="X187" s="27"/>
      <c r="Y187" s="27"/>
      <c r="Z187" s="27"/>
      <c r="AA187" s="27"/>
      <c r="AB187" s="27"/>
      <c r="AC187" s="27"/>
      <c r="AD187" s="27"/>
      <c r="AE187" s="27"/>
      <c r="AF187" s="27"/>
      <c r="AG187" s="27"/>
      <c r="AH187" s="27"/>
    </row>
    <row r="188" spans="4:34" ht="15">
      <c r="D188" s="120"/>
      <c r="E188" s="120"/>
      <c r="F188" s="28"/>
      <c r="G188" s="28"/>
      <c r="H188" s="28"/>
      <c r="I188" s="28"/>
      <c r="J188" s="28"/>
      <c r="K188" s="27"/>
      <c r="L188" s="27"/>
      <c r="M188" s="27"/>
      <c r="N188" s="27"/>
      <c r="O188" s="27"/>
      <c r="P188" s="27"/>
      <c r="Q188" s="27"/>
      <c r="R188" s="27"/>
      <c r="S188" s="27"/>
      <c r="T188" s="27"/>
      <c r="U188" s="27"/>
      <c r="V188" s="27"/>
      <c r="W188" s="27"/>
      <c r="X188" s="27"/>
      <c r="Y188" s="27"/>
      <c r="Z188" s="27"/>
      <c r="AA188" s="27"/>
      <c r="AB188" s="27"/>
      <c r="AC188" s="27"/>
      <c r="AD188" s="27"/>
      <c r="AE188" s="27"/>
      <c r="AF188" s="27"/>
      <c r="AG188" s="27"/>
      <c r="AH188" s="27"/>
    </row>
    <row r="189" spans="4:34" ht="15">
      <c r="D189" s="120"/>
      <c r="E189" s="120"/>
      <c r="F189" s="28"/>
      <c r="G189" s="28"/>
      <c r="H189" s="28"/>
      <c r="I189" s="28"/>
      <c r="J189" s="28"/>
      <c r="K189" s="27"/>
      <c r="L189" s="27"/>
      <c r="M189" s="27"/>
      <c r="N189" s="27"/>
      <c r="O189" s="27"/>
      <c r="P189" s="27"/>
      <c r="Q189" s="27"/>
      <c r="R189" s="27"/>
      <c r="S189" s="27"/>
      <c r="T189" s="27"/>
      <c r="U189" s="27"/>
      <c r="V189" s="27"/>
      <c r="W189" s="27"/>
      <c r="X189" s="27"/>
      <c r="Y189" s="27"/>
      <c r="Z189" s="27"/>
      <c r="AA189" s="27"/>
      <c r="AB189" s="27"/>
      <c r="AC189" s="27"/>
      <c r="AD189" s="27"/>
      <c r="AE189" s="27"/>
      <c r="AF189" s="27"/>
      <c r="AG189" s="27"/>
      <c r="AH189" s="27"/>
    </row>
    <row r="190" spans="4:34" ht="15">
      <c r="D190" s="120"/>
      <c r="E190" s="120"/>
      <c r="F190" s="28"/>
      <c r="G190" s="28"/>
      <c r="H190" s="28"/>
      <c r="I190" s="28"/>
      <c r="J190" s="28"/>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row>
    <row r="191" spans="4:34" ht="15">
      <c r="D191" s="120"/>
      <c r="E191" s="120"/>
      <c r="F191" s="28"/>
      <c r="G191" s="28"/>
      <c r="H191" s="28"/>
      <c r="I191" s="28"/>
      <c r="J191" s="28"/>
      <c r="K191" s="27"/>
      <c r="L191" s="27"/>
      <c r="M191" s="27"/>
      <c r="N191" s="27"/>
      <c r="O191" s="27"/>
      <c r="P191" s="27"/>
      <c r="Q191" s="27"/>
      <c r="R191" s="27"/>
      <c r="S191" s="27"/>
      <c r="T191" s="27"/>
      <c r="U191" s="27"/>
      <c r="V191" s="27"/>
      <c r="W191" s="27"/>
      <c r="X191" s="27"/>
      <c r="Y191" s="27"/>
      <c r="Z191" s="27"/>
      <c r="AA191" s="27"/>
      <c r="AB191" s="27"/>
      <c r="AC191" s="27"/>
      <c r="AD191" s="27"/>
      <c r="AE191" s="27"/>
      <c r="AF191" s="27"/>
      <c r="AG191" s="27"/>
      <c r="AH191" s="27"/>
    </row>
    <row r="192" spans="4:34" ht="15">
      <c r="D192" s="120"/>
      <c r="E192" s="120"/>
      <c r="F192" s="28"/>
      <c r="G192" s="28"/>
      <c r="H192" s="28"/>
      <c r="I192" s="28"/>
      <c r="J192" s="28"/>
      <c r="K192" s="27"/>
      <c r="L192" s="27"/>
      <c r="M192" s="27"/>
      <c r="N192" s="27"/>
      <c r="O192" s="27"/>
      <c r="P192" s="27"/>
      <c r="Q192" s="27"/>
      <c r="R192" s="27"/>
      <c r="S192" s="27"/>
      <c r="T192" s="27"/>
      <c r="U192" s="27"/>
      <c r="V192" s="27"/>
      <c r="W192" s="27"/>
      <c r="X192" s="27"/>
      <c r="Y192" s="27"/>
      <c r="Z192" s="27"/>
      <c r="AA192" s="27"/>
      <c r="AB192" s="27"/>
      <c r="AC192" s="27"/>
      <c r="AD192" s="27"/>
      <c r="AE192" s="27"/>
      <c r="AF192" s="27"/>
      <c r="AG192" s="27"/>
      <c r="AH192" s="27"/>
    </row>
    <row r="193" spans="4:34" ht="15">
      <c r="D193" s="120"/>
      <c r="E193" s="120"/>
      <c r="F193" s="28"/>
      <c r="G193" s="28"/>
      <c r="H193" s="28"/>
      <c r="I193" s="28"/>
      <c r="J193" s="28"/>
      <c r="K193" s="27"/>
      <c r="L193" s="27"/>
      <c r="M193" s="27"/>
      <c r="N193" s="27"/>
      <c r="O193" s="27"/>
      <c r="P193" s="27"/>
      <c r="Q193" s="27"/>
      <c r="R193" s="27"/>
      <c r="S193" s="27"/>
      <c r="T193" s="27"/>
      <c r="U193" s="27"/>
      <c r="V193" s="27"/>
      <c r="W193" s="27"/>
      <c r="X193" s="27"/>
      <c r="Y193" s="27"/>
      <c r="Z193" s="27"/>
      <c r="AA193" s="27"/>
      <c r="AB193" s="27"/>
      <c r="AC193" s="27"/>
      <c r="AD193" s="27"/>
      <c r="AE193" s="27"/>
      <c r="AF193" s="27"/>
      <c r="AG193" s="27"/>
      <c r="AH193" s="27"/>
    </row>
    <row r="194" spans="4:34" ht="15">
      <c r="D194" s="120"/>
      <c r="E194" s="120"/>
      <c r="F194" s="28"/>
      <c r="G194" s="28"/>
      <c r="H194" s="28"/>
      <c r="I194" s="28"/>
      <c r="J194" s="28"/>
      <c r="K194" s="27"/>
      <c r="L194" s="27"/>
      <c r="M194" s="27"/>
      <c r="N194" s="27"/>
      <c r="O194" s="27"/>
      <c r="P194" s="27"/>
      <c r="Q194" s="27"/>
      <c r="R194" s="27"/>
      <c r="S194" s="27"/>
      <c r="T194" s="27"/>
      <c r="U194" s="27"/>
      <c r="V194" s="27"/>
      <c r="W194" s="27"/>
      <c r="X194" s="27"/>
      <c r="Y194" s="27"/>
      <c r="Z194" s="27"/>
      <c r="AA194" s="27"/>
      <c r="AB194" s="27"/>
      <c r="AC194" s="27"/>
      <c r="AD194" s="27"/>
      <c r="AE194" s="27"/>
      <c r="AF194" s="27"/>
      <c r="AG194" s="27"/>
      <c r="AH194" s="27"/>
    </row>
    <row r="195" spans="4:34" ht="15">
      <c r="D195" s="120"/>
      <c r="E195" s="120"/>
      <c r="F195" s="28"/>
      <c r="G195" s="28"/>
      <c r="H195" s="28"/>
      <c r="I195" s="28"/>
      <c r="J195" s="28"/>
      <c r="K195" s="27"/>
      <c r="L195" s="27"/>
      <c r="M195" s="27"/>
      <c r="N195" s="27"/>
      <c r="O195" s="27"/>
      <c r="P195" s="27"/>
      <c r="Q195" s="27"/>
      <c r="R195" s="27"/>
      <c r="S195" s="27"/>
      <c r="T195" s="27"/>
      <c r="U195" s="27"/>
      <c r="V195" s="27"/>
      <c r="W195" s="27"/>
      <c r="X195" s="27"/>
      <c r="Y195" s="27"/>
      <c r="Z195" s="27"/>
      <c r="AA195" s="27"/>
      <c r="AB195" s="27"/>
      <c r="AC195" s="27"/>
      <c r="AD195" s="27"/>
      <c r="AE195" s="27"/>
      <c r="AF195" s="27"/>
      <c r="AG195" s="27"/>
      <c r="AH195" s="27"/>
    </row>
    <row r="196" spans="4:34" ht="15">
      <c r="D196" s="120"/>
      <c r="E196" s="120"/>
      <c r="F196" s="28"/>
      <c r="G196" s="28"/>
      <c r="H196" s="28"/>
      <c r="I196" s="28"/>
      <c r="J196" s="28"/>
      <c r="K196" s="27"/>
      <c r="L196" s="27"/>
      <c r="M196" s="27"/>
      <c r="N196" s="27"/>
      <c r="O196" s="27"/>
      <c r="P196" s="27"/>
      <c r="Q196" s="27"/>
      <c r="R196" s="27"/>
      <c r="S196" s="27"/>
      <c r="T196" s="27"/>
      <c r="U196" s="27"/>
      <c r="V196" s="27"/>
      <c r="W196" s="27"/>
      <c r="X196" s="27"/>
      <c r="Y196" s="27"/>
      <c r="Z196" s="27"/>
      <c r="AA196" s="27"/>
      <c r="AB196" s="27"/>
      <c r="AC196" s="27"/>
      <c r="AD196" s="27"/>
      <c r="AE196" s="27"/>
      <c r="AF196" s="27"/>
      <c r="AG196" s="27"/>
      <c r="AH196" s="27"/>
    </row>
    <row r="197" spans="4:34" ht="15">
      <c r="D197" s="120"/>
      <c r="E197" s="120"/>
      <c r="F197" s="28"/>
      <c r="G197" s="28"/>
      <c r="H197" s="28"/>
      <c r="I197" s="28"/>
      <c r="J197" s="28"/>
      <c r="K197" s="27"/>
      <c r="L197" s="27"/>
      <c r="M197" s="27"/>
      <c r="N197" s="27"/>
      <c r="O197" s="27"/>
      <c r="P197" s="27"/>
      <c r="Q197" s="27"/>
      <c r="R197" s="27"/>
      <c r="S197" s="27"/>
      <c r="T197" s="27"/>
      <c r="U197" s="27"/>
      <c r="V197" s="27"/>
      <c r="W197" s="27"/>
      <c r="X197" s="27"/>
      <c r="Y197" s="27"/>
      <c r="Z197" s="27"/>
      <c r="AA197" s="27"/>
      <c r="AB197" s="27"/>
      <c r="AC197" s="27"/>
      <c r="AD197" s="27"/>
      <c r="AE197" s="27"/>
      <c r="AF197" s="27"/>
      <c r="AG197" s="27"/>
      <c r="AH197" s="27"/>
    </row>
    <row r="198" spans="4:34" ht="15">
      <c r="D198" s="120"/>
      <c r="E198" s="120"/>
      <c r="F198" s="28"/>
      <c r="G198" s="28"/>
      <c r="H198" s="28"/>
      <c r="I198" s="28"/>
      <c r="J198" s="28"/>
      <c r="K198" s="27"/>
      <c r="L198" s="27"/>
      <c r="M198" s="27"/>
      <c r="N198" s="27"/>
      <c r="O198" s="27"/>
      <c r="P198" s="27"/>
      <c r="Q198" s="27"/>
      <c r="R198" s="27"/>
      <c r="S198" s="27"/>
      <c r="T198" s="27"/>
      <c r="U198" s="27"/>
      <c r="V198" s="27"/>
      <c r="W198" s="27"/>
      <c r="X198" s="27"/>
      <c r="Y198" s="27"/>
      <c r="Z198" s="27"/>
      <c r="AA198" s="27"/>
      <c r="AB198" s="27"/>
      <c r="AC198" s="27"/>
      <c r="AD198" s="27"/>
      <c r="AE198" s="27"/>
      <c r="AF198" s="27"/>
      <c r="AG198" s="27"/>
      <c r="AH198" s="27"/>
    </row>
    <row r="199" spans="4:34" ht="15">
      <c r="D199" s="120"/>
      <c r="E199" s="120"/>
      <c r="F199" s="28"/>
      <c r="G199" s="28"/>
      <c r="H199" s="28"/>
      <c r="I199" s="28"/>
      <c r="J199" s="28"/>
      <c r="K199" s="27"/>
      <c r="L199" s="27"/>
      <c r="M199" s="27"/>
      <c r="N199" s="27"/>
      <c r="O199" s="27"/>
      <c r="P199" s="27"/>
      <c r="Q199" s="27"/>
      <c r="R199" s="27"/>
      <c r="S199" s="27"/>
      <c r="T199" s="27"/>
      <c r="U199" s="27"/>
      <c r="V199" s="27"/>
      <c r="W199" s="27"/>
      <c r="X199" s="27"/>
      <c r="Y199" s="27"/>
      <c r="Z199" s="27"/>
      <c r="AA199" s="27"/>
      <c r="AB199" s="27"/>
      <c r="AC199" s="27"/>
      <c r="AD199" s="27"/>
      <c r="AE199" s="27"/>
      <c r="AF199" s="27"/>
      <c r="AG199" s="27"/>
      <c r="AH199" s="27"/>
    </row>
    <row r="200" spans="4:34" ht="15">
      <c r="D200" s="120"/>
      <c r="E200" s="120"/>
      <c r="F200" s="28"/>
      <c r="G200" s="28"/>
      <c r="H200" s="28"/>
      <c r="I200" s="28"/>
      <c r="J200" s="28"/>
      <c r="K200" s="27"/>
      <c r="L200" s="27"/>
      <c r="M200" s="27"/>
      <c r="N200" s="27"/>
      <c r="O200" s="27"/>
      <c r="P200" s="27"/>
      <c r="Q200" s="27"/>
      <c r="R200" s="27"/>
      <c r="S200" s="27"/>
      <c r="T200" s="27"/>
      <c r="U200" s="27"/>
      <c r="V200" s="27"/>
      <c r="W200" s="27"/>
      <c r="X200" s="27"/>
      <c r="Y200" s="27"/>
      <c r="Z200" s="27"/>
      <c r="AA200" s="27"/>
      <c r="AB200" s="27"/>
      <c r="AC200" s="27"/>
      <c r="AD200" s="27"/>
      <c r="AE200" s="27"/>
      <c r="AF200" s="27"/>
      <c r="AG200" s="27"/>
      <c r="AH200" s="27"/>
    </row>
    <row r="201" spans="4:34" ht="15">
      <c r="D201" s="120"/>
      <c r="E201" s="120"/>
      <c r="F201" s="28"/>
      <c r="G201" s="28"/>
      <c r="H201" s="28"/>
      <c r="I201" s="28"/>
      <c r="J201" s="28"/>
      <c r="K201" s="27"/>
      <c r="L201" s="27"/>
      <c r="M201" s="27"/>
      <c r="N201" s="27"/>
      <c r="O201" s="27"/>
      <c r="P201" s="27"/>
      <c r="Q201" s="27"/>
      <c r="R201" s="27"/>
      <c r="S201" s="27"/>
      <c r="T201" s="27"/>
      <c r="U201" s="27"/>
      <c r="V201" s="27"/>
      <c r="W201" s="27"/>
      <c r="X201" s="27"/>
      <c r="Y201" s="27"/>
      <c r="Z201" s="27"/>
      <c r="AA201" s="27"/>
      <c r="AB201" s="27"/>
      <c r="AC201" s="27"/>
      <c r="AD201" s="27"/>
      <c r="AE201" s="27"/>
      <c r="AF201" s="27"/>
      <c r="AG201" s="27"/>
      <c r="AH201" s="27"/>
    </row>
    <row r="202" spans="4:34" ht="15">
      <c r="D202" s="120"/>
      <c r="E202" s="120"/>
      <c r="F202" s="28"/>
      <c r="G202" s="28"/>
      <c r="H202" s="28"/>
      <c r="I202" s="28"/>
      <c r="J202" s="28"/>
      <c r="K202" s="27"/>
      <c r="L202" s="27"/>
      <c r="M202" s="27"/>
      <c r="N202" s="27"/>
      <c r="O202" s="27"/>
      <c r="P202" s="27"/>
      <c r="Q202" s="27"/>
      <c r="R202" s="27"/>
      <c r="S202" s="27"/>
      <c r="T202" s="27"/>
      <c r="U202" s="27"/>
      <c r="V202" s="27"/>
      <c r="W202" s="27"/>
      <c r="X202" s="27"/>
      <c r="Y202" s="27"/>
      <c r="Z202" s="27"/>
      <c r="AA202" s="27"/>
      <c r="AB202" s="27"/>
      <c r="AC202" s="27"/>
      <c r="AD202" s="27"/>
      <c r="AE202" s="27"/>
      <c r="AF202" s="27"/>
      <c r="AG202" s="27"/>
      <c r="AH202" s="27"/>
    </row>
    <row r="203" spans="4:34" ht="15">
      <c r="D203" s="120"/>
      <c r="E203" s="120"/>
      <c r="F203" s="28"/>
      <c r="G203" s="28"/>
      <c r="H203" s="28"/>
      <c r="I203" s="28"/>
      <c r="J203" s="28"/>
      <c r="K203" s="27"/>
      <c r="L203" s="27"/>
      <c r="M203" s="27"/>
      <c r="N203" s="27"/>
      <c r="O203" s="27"/>
      <c r="P203" s="27"/>
      <c r="Q203" s="27"/>
      <c r="R203" s="27"/>
      <c r="S203" s="27"/>
      <c r="T203" s="27"/>
      <c r="U203" s="27"/>
      <c r="V203" s="27"/>
      <c r="W203" s="27"/>
      <c r="X203" s="27"/>
      <c r="Y203" s="27"/>
      <c r="Z203" s="27"/>
      <c r="AA203" s="27"/>
      <c r="AB203" s="27"/>
      <c r="AC203" s="27"/>
      <c r="AD203" s="27"/>
      <c r="AE203" s="27"/>
      <c r="AF203" s="27"/>
      <c r="AG203" s="27"/>
      <c r="AH203" s="27"/>
    </row>
    <row r="204" spans="4:34" ht="15">
      <c r="D204" s="120"/>
      <c r="E204" s="120"/>
      <c r="F204" s="28"/>
      <c r="G204" s="28"/>
      <c r="H204" s="28"/>
      <c r="I204" s="28"/>
      <c r="J204" s="28"/>
      <c r="K204" s="27"/>
      <c r="L204" s="27"/>
      <c r="M204" s="27"/>
      <c r="N204" s="27"/>
      <c r="O204" s="27"/>
      <c r="P204" s="27"/>
      <c r="Q204" s="27"/>
      <c r="R204" s="27"/>
      <c r="S204" s="27"/>
      <c r="T204" s="27"/>
      <c r="U204" s="27"/>
      <c r="V204" s="27"/>
      <c r="W204" s="27"/>
      <c r="X204" s="27"/>
      <c r="Y204" s="27"/>
      <c r="Z204" s="27"/>
      <c r="AA204" s="27"/>
      <c r="AB204" s="27"/>
      <c r="AC204" s="27"/>
      <c r="AD204" s="27"/>
      <c r="AE204" s="27"/>
      <c r="AF204" s="27"/>
      <c r="AG204" s="27"/>
      <c r="AH204" s="27"/>
    </row>
    <row r="205" spans="4:34" ht="15">
      <c r="D205" s="120"/>
      <c r="E205" s="120"/>
      <c r="F205" s="28"/>
      <c r="G205" s="28"/>
      <c r="H205" s="28"/>
      <c r="I205" s="28"/>
      <c r="J205" s="28"/>
      <c r="K205" s="27"/>
      <c r="L205" s="27"/>
      <c r="M205" s="27"/>
      <c r="N205" s="27"/>
      <c r="O205" s="27"/>
      <c r="P205" s="27"/>
      <c r="Q205" s="27"/>
      <c r="R205" s="27"/>
      <c r="S205" s="27"/>
      <c r="T205" s="27"/>
      <c r="U205" s="27"/>
      <c r="V205" s="27"/>
      <c r="W205" s="27"/>
      <c r="X205" s="27"/>
      <c r="Y205" s="27"/>
      <c r="Z205" s="27"/>
      <c r="AA205" s="27"/>
      <c r="AB205" s="27"/>
      <c r="AC205" s="27"/>
      <c r="AD205" s="27"/>
      <c r="AE205" s="27"/>
      <c r="AF205" s="27"/>
      <c r="AG205" s="27"/>
      <c r="AH205" s="27"/>
    </row>
    <row r="206" spans="4:34" ht="15">
      <c r="D206" s="120"/>
      <c r="E206" s="120"/>
      <c r="F206" s="28"/>
      <c r="G206" s="28"/>
      <c r="H206" s="28"/>
      <c r="I206" s="28"/>
      <c r="J206" s="28"/>
      <c r="K206" s="27"/>
      <c r="L206" s="27"/>
      <c r="M206" s="27"/>
      <c r="N206" s="27"/>
      <c r="O206" s="27"/>
      <c r="P206" s="27"/>
      <c r="Q206" s="27"/>
      <c r="R206" s="27"/>
      <c r="S206" s="27"/>
      <c r="T206" s="27"/>
      <c r="U206" s="27"/>
      <c r="V206" s="27"/>
      <c r="W206" s="27"/>
      <c r="X206" s="27"/>
      <c r="Y206" s="27"/>
      <c r="Z206" s="27"/>
      <c r="AA206" s="27"/>
      <c r="AB206" s="27"/>
      <c r="AC206" s="27"/>
      <c r="AD206" s="27"/>
      <c r="AE206" s="27"/>
      <c r="AF206" s="27"/>
      <c r="AG206" s="27"/>
      <c r="AH206" s="27"/>
    </row>
    <row r="207" spans="4:34" ht="15">
      <c r="D207" s="120"/>
      <c r="E207" s="120"/>
      <c r="F207" s="28"/>
      <c r="G207" s="28"/>
      <c r="H207" s="28"/>
      <c r="I207" s="28"/>
      <c r="J207" s="28"/>
      <c r="K207" s="27"/>
      <c r="L207" s="27"/>
      <c r="M207" s="27"/>
      <c r="N207" s="27"/>
      <c r="O207" s="27"/>
      <c r="P207" s="27"/>
      <c r="Q207" s="27"/>
      <c r="R207" s="27"/>
      <c r="S207" s="27"/>
      <c r="T207" s="27"/>
      <c r="U207" s="27"/>
      <c r="V207" s="27"/>
      <c r="W207" s="27"/>
      <c r="X207" s="27"/>
      <c r="Y207" s="27"/>
      <c r="Z207" s="27"/>
      <c r="AA207" s="27"/>
      <c r="AB207" s="27"/>
      <c r="AC207" s="27"/>
      <c r="AD207" s="27"/>
      <c r="AE207" s="27"/>
      <c r="AF207" s="27"/>
      <c r="AG207" s="27"/>
      <c r="AH207" s="27"/>
    </row>
    <row r="208" spans="4:34" ht="15">
      <c r="D208" s="120"/>
      <c r="E208" s="120"/>
      <c r="F208" s="28"/>
      <c r="G208" s="28"/>
      <c r="H208" s="28"/>
      <c r="I208" s="28"/>
      <c r="J208" s="28"/>
      <c r="K208" s="27"/>
      <c r="L208" s="27"/>
      <c r="M208" s="27"/>
      <c r="N208" s="27"/>
      <c r="O208" s="27"/>
      <c r="P208" s="27"/>
      <c r="Q208" s="27"/>
      <c r="R208" s="27"/>
      <c r="S208" s="27"/>
      <c r="T208" s="27"/>
      <c r="U208" s="27"/>
      <c r="V208" s="27"/>
      <c r="W208" s="27"/>
      <c r="X208" s="27"/>
      <c r="Y208" s="27"/>
      <c r="Z208" s="27"/>
      <c r="AA208" s="27"/>
      <c r="AB208" s="27"/>
      <c r="AC208" s="27"/>
      <c r="AD208" s="27"/>
      <c r="AE208" s="27"/>
      <c r="AF208" s="27"/>
      <c r="AG208" s="27"/>
      <c r="AH208" s="27"/>
    </row>
    <row r="209" spans="4:34" ht="15">
      <c r="D209" s="120"/>
      <c r="E209" s="120"/>
      <c r="F209" s="28"/>
      <c r="G209" s="28"/>
      <c r="H209" s="28"/>
      <c r="I209" s="28"/>
      <c r="J209" s="28"/>
      <c r="K209" s="27"/>
      <c r="L209" s="27"/>
      <c r="M209" s="27"/>
      <c r="N209" s="27"/>
      <c r="O209" s="27"/>
      <c r="P209" s="27"/>
      <c r="Q209" s="27"/>
      <c r="R209" s="27"/>
      <c r="S209" s="27"/>
      <c r="T209" s="27"/>
      <c r="U209" s="27"/>
      <c r="V209" s="27"/>
      <c r="W209" s="27"/>
      <c r="X209" s="27"/>
      <c r="Y209" s="27"/>
      <c r="Z209" s="27"/>
      <c r="AA209" s="27"/>
      <c r="AB209" s="27"/>
      <c r="AC209" s="27"/>
      <c r="AD209" s="27"/>
      <c r="AE209" s="27"/>
      <c r="AF209" s="27"/>
      <c r="AG209" s="27"/>
      <c r="AH209" s="27"/>
    </row>
    <row r="210" spans="4:34" ht="15">
      <c r="D210" s="120"/>
      <c r="E210" s="120"/>
      <c r="F210" s="28"/>
      <c r="G210" s="28"/>
      <c r="H210" s="28"/>
      <c r="I210" s="28"/>
      <c r="J210" s="28"/>
      <c r="K210" s="27"/>
      <c r="L210" s="27"/>
      <c r="M210" s="27"/>
      <c r="N210" s="27"/>
      <c r="O210" s="27"/>
      <c r="P210" s="27"/>
      <c r="Q210" s="27"/>
      <c r="R210" s="27"/>
      <c r="S210" s="27"/>
      <c r="T210" s="27"/>
      <c r="U210" s="27"/>
      <c r="V210" s="27"/>
      <c r="W210" s="27"/>
      <c r="X210" s="27"/>
      <c r="Y210" s="27"/>
      <c r="Z210" s="27"/>
      <c r="AA210" s="27"/>
      <c r="AB210" s="27"/>
      <c r="AC210" s="27"/>
      <c r="AD210" s="27"/>
      <c r="AE210" s="27"/>
      <c r="AF210" s="27"/>
      <c r="AG210" s="27"/>
      <c r="AH210" s="27"/>
    </row>
    <row r="211" spans="4:34" ht="15">
      <c r="D211" s="120"/>
      <c r="E211" s="120"/>
      <c r="F211" s="28"/>
      <c r="G211" s="28"/>
      <c r="H211" s="28"/>
      <c r="I211" s="28"/>
      <c r="J211" s="28"/>
      <c r="K211" s="27"/>
      <c r="L211" s="27"/>
      <c r="M211" s="27"/>
      <c r="N211" s="27"/>
      <c r="O211" s="27"/>
      <c r="P211" s="27"/>
      <c r="Q211" s="27"/>
      <c r="R211" s="27"/>
      <c r="S211" s="27"/>
      <c r="T211" s="27"/>
      <c r="U211" s="27"/>
      <c r="V211" s="27"/>
      <c r="W211" s="27"/>
      <c r="X211" s="27"/>
      <c r="Y211" s="27"/>
      <c r="Z211" s="27"/>
      <c r="AA211" s="27"/>
      <c r="AB211" s="27"/>
      <c r="AC211" s="27"/>
      <c r="AD211" s="27"/>
      <c r="AE211" s="27"/>
      <c r="AF211" s="27"/>
      <c r="AG211" s="27"/>
      <c r="AH211" s="27"/>
    </row>
    <row r="212" spans="4:34" ht="15">
      <c r="D212" s="120"/>
      <c r="E212" s="120"/>
      <c r="F212" s="28"/>
      <c r="G212" s="28"/>
      <c r="H212" s="28"/>
      <c r="I212" s="28"/>
      <c r="J212" s="28"/>
      <c r="K212" s="27"/>
      <c r="L212" s="27"/>
      <c r="M212" s="27"/>
      <c r="N212" s="27"/>
      <c r="O212" s="27"/>
      <c r="P212" s="27"/>
      <c r="Q212" s="27"/>
      <c r="R212" s="27"/>
      <c r="S212" s="27"/>
      <c r="T212" s="27"/>
      <c r="U212" s="27"/>
      <c r="V212" s="27"/>
      <c r="W212" s="27"/>
      <c r="X212" s="27"/>
      <c r="Y212" s="27"/>
      <c r="Z212" s="27"/>
      <c r="AA212" s="27"/>
      <c r="AB212" s="27"/>
      <c r="AC212" s="27"/>
      <c r="AD212" s="27"/>
      <c r="AE212" s="27"/>
      <c r="AF212" s="27"/>
      <c r="AG212" s="27"/>
      <c r="AH212" s="27"/>
    </row>
    <row r="213" spans="4:34" ht="15">
      <c r="D213" s="120"/>
      <c r="E213" s="120"/>
      <c r="F213" s="28"/>
      <c r="G213" s="28"/>
      <c r="H213" s="28"/>
      <c r="I213" s="28"/>
      <c r="J213" s="28"/>
      <c r="K213" s="27"/>
      <c r="L213" s="27"/>
      <c r="M213" s="27"/>
      <c r="N213" s="27"/>
      <c r="O213" s="27"/>
      <c r="P213" s="27"/>
      <c r="Q213" s="27"/>
      <c r="R213" s="27"/>
      <c r="S213" s="27"/>
      <c r="T213" s="27"/>
      <c r="U213" s="27"/>
      <c r="V213" s="27"/>
      <c r="W213" s="27"/>
      <c r="X213" s="27"/>
      <c r="Y213" s="27"/>
      <c r="Z213" s="27"/>
      <c r="AA213" s="27"/>
      <c r="AB213" s="27"/>
      <c r="AC213" s="27"/>
      <c r="AD213" s="27"/>
      <c r="AE213" s="27"/>
      <c r="AF213" s="27"/>
      <c r="AG213" s="27"/>
      <c r="AH213" s="27"/>
    </row>
  </sheetData>
  <sheetProtection/>
  <mergeCells count="8">
    <mergeCell ref="X4:AA4"/>
    <mergeCell ref="K4:M4"/>
    <mergeCell ref="C139:E139"/>
    <mergeCell ref="C140:E140"/>
    <mergeCell ref="C41:E41"/>
    <mergeCell ref="G4:I4"/>
    <mergeCell ref="O4:Q4"/>
    <mergeCell ref="S4:V4"/>
  </mergeCells>
  <printOptions horizontalCentered="1"/>
  <pageMargins left="0.17" right="0.17" top="0.35" bottom="0.15" header="0.5" footer="0.1"/>
  <pageSetup horizontalDpi="600" verticalDpi="600" orientation="landscape" scale="53" r:id="rId1"/>
  <rowBreaks count="4" manualBreakCount="4">
    <brk id="28" max="37" man="1"/>
    <brk id="42" max="255" man="1"/>
    <brk id="68" max="37" man="1"/>
    <brk id="102" max="37" man="1"/>
  </rowBreaks>
</worksheet>
</file>

<file path=xl/worksheets/sheet4.xml><?xml version="1.0" encoding="utf-8"?>
<worksheet xmlns="http://schemas.openxmlformats.org/spreadsheetml/2006/main" xmlns:r="http://schemas.openxmlformats.org/officeDocument/2006/relationships">
  <sheetPr>
    <pageSetUpPr fitToPage="1"/>
  </sheetPr>
  <dimension ref="A1:K12"/>
  <sheetViews>
    <sheetView zoomScale="60" zoomScaleNormal="60" zoomScalePageLayoutView="0" workbookViewId="0" topLeftCell="A1">
      <selection activeCell="D12" sqref="D11:D12"/>
    </sheetView>
  </sheetViews>
  <sheetFormatPr defaultColWidth="9.140625" defaultRowHeight="12.75"/>
  <cols>
    <col min="1" max="1" width="16.00390625" style="1" customWidth="1"/>
    <col min="2" max="2" width="14.8515625" style="1" bestFit="1" customWidth="1"/>
    <col min="3" max="3" width="9.140625" style="1" customWidth="1"/>
    <col min="4" max="4" width="16.28125" style="1" bestFit="1" customWidth="1"/>
    <col min="5" max="16384" width="9.140625" style="1" customWidth="1"/>
  </cols>
  <sheetData>
    <row r="1" spans="1:11" ht="15.75" thickBot="1">
      <c r="A1" s="223" t="s">
        <v>20</v>
      </c>
      <c r="B1" s="224"/>
      <c r="C1" s="224"/>
      <c r="D1" s="224"/>
      <c r="E1" s="224"/>
      <c r="F1" s="224"/>
      <c r="G1" s="224"/>
      <c r="H1" s="224"/>
      <c r="I1" s="224"/>
      <c r="J1" s="224"/>
      <c r="K1" s="224"/>
    </row>
    <row r="3" spans="2:4" ht="15">
      <c r="B3" s="225" t="s">
        <v>19</v>
      </c>
      <c r="D3" s="225" t="s">
        <v>23</v>
      </c>
    </row>
    <row r="4" spans="1:4" ht="15">
      <c r="A4" s="1" t="s">
        <v>21</v>
      </c>
      <c r="B4" s="226" t="e">
        <f>#REF!+#REF!+#REF!+#REF!+#REF!+#REF!+#REF!+#REF!+#REF!+#REF!+#REF!+#REF!+#REF!+#REF!+#REF!</f>
        <v>#REF!</v>
      </c>
      <c r="C4" s="226"/>
      <c r="D4" s="226" t="e">
        <f>#REF!+#REF!+#REF!+#REF!+#REF!+#REF!+#REF!+#REF!+#REF!</f>
        <v>#REF!</v>
      </c>
    </row>
    <row r="5" spans="1:4" ht="15">
      <c r="A5" s="1" t="s">
        <v>22</v>
      </c>
      <c r="B5" s="226" t="e">
        <f>#REF!+#REF!+#REF!+#REF!+#REF!+#REF!+#REF!+#REF!</f>
        <v>#REF!</v>
      </c>
      <c r="C5" s="226"/>
      <c r="D5" s="226" t="e">
        <f>#REF!+#REF!+#REF!+#REF!+#REF!</f>
        <v>#REF!</v>
      </c>
    </row>
    <row r="6" spans="1:4" ht="15">
      <c r="A6" s="1" t="s">
        <v>219</v>
      </c>
      <c r="B6" s="1" t="e">
        <f>#REF!</f>
        <v>#REF!</v>
      </c>
      <c r="D6" s="1" t="e">
        <f>#REF!</f>
        <v>#REF!</v>
      </c>
    </row>
    <row r="7" spans="1:4" ht="15">
      <c r="A7" s="1" t="s">
        <v>89</v>
      </c>
      <c r="B7" s="226" t="e">
        <f>#REF!+#REF!+#REF!+#REF!+#REF!+#REF!+#REF!+#REF!+#REF!+#REF!</f>
        <v>#REF!</v>
      </c>
      <c r="C7" s="226"/>
      <c r="D7" s="226" t="e">
        <f>#REF!+#REF!+#REF!+#REF!+#REF!+#REF!+#REF!+#REF!+#REF!</f>
        <v>#REF!</v>
      </c>
    </row>
    <row r="8" spans="1:4" ht="15">
      <c r="A8" s="1" t="s">
        <v>24</v>
      </c>
      <c r="B8" s="226" t="e">
        <f>'Hedge Funds and Other Funds'!#REF!+'Hedge Funds and Other Funds'!#REF!+'Hedge Funds and Other Funds'!#REF!</f>
        <v>#REF!</v>
      </c>
      <c r="C8" s="226"/>
      <c r="D8" s="226" t="e">
        <f>'Hedge Funds and Other Funds'!#REF!+'Hedge Funds and Other Funds'!#REF!+'Hedge Funds and Other Funds'!#REF!+'Hedge Funds and Other Funds'!#REF!+#REF!+#REF!</f>
        <v>#REF!</v>
      </c>
    </row>
    <row r="9" spans="2:4" ht="15">
      <c r="B9" s="228" t="e">
        <f>SUM(B4:B8)</f>
        <v>#REF!</v>
      </c>
      <c r="D9" s="229" t="e">
        <f>SUM(D4:D8)</f>
        <v>#REF!</v>
      </c>
    </row>
    <row r="10" spans="2:4" ht="15">
      <c r="B10" s="225"/>
      <c r="D10" s="225"/>
    </row>
    <row r="11" spans="1:4" ht="15">
      <c r="A11" s="227" t="s">
        <v>25</v>
      </c>
      <c r="B11" s="228" t="e">
        <f>'Hedge Funds and Other Funds'!#REF!+#REF!+#REF!+#REF!+#REF!+#REF!+#REF!+#REF!+#REF!</f>
        <v>#REF!</v>
      </c>
      <c r="D11" s="228" t="e">
        <f>'Hedge Funds and Other Funds'!#REF!+#REF!+#REF!+#REF!+#REF!+#REF!+#REF!+#REF!</f>
        <v>#REF!</v>
      </c>
    </row>
    <row r="12" ht="15">
      <c r="D12" s="1">
        <v>3</v>
      </c>
    </row>
  </sheetData>
  <sheetProtection/>
  <printOptions/>
  <pageMargins left="0.75" right="0.75" top="1" bottom="1" header="0.5" footer="0.5"/>
  <pageSetup fitToHeight="1" fitToWidth="1" horizontalDpi="600" verticalDpi="600" orientation="landscape" r:id="rId1"/>
</worksheet>
</file>

<file path=xl/worksheets/sheet5.xml><?xml version="1.0" encoding="utf-8"?>
<worksheet xmlns="http://schemas.openxmlformats.org/spreadsheetml/2006/main" xmlns:r="http://schemas.openxmlformats.org/officeDocument/2006/relationships">
  <sheetPr>
    <tabColor rgb="FF92D050"/>
  </sheetPr>
  <dimension ref="A1:J60"/>
  <sheetViews>
    <sheetView showGridLines="0" zoomScale="80" zoomScaleNormal="80" zoomScaleSheetLayoutView="75" zoomScalePageLayoutView="0" workbookViewId="0" topLeftCell="A1">
      <selection activeCell="A11" sqref="A11"/>
    </sheetView>
  </sheetViews>
  <sheetFormatPr defaultColWidth="14.28125" defaultRowHeight="12.75"/>
  <cols>
    <col min="1" max="1" width="47.57421875" style="231" customWidth="1"/>
    <col min="2" max="2" width="31.140625" style="231" customWidth="1"/>
    <col min="3" max="10" width="15.7109375" style="231" customWidth="1"/>
    <col min="11" max="16384" width="14.28125" style="231" customWidth="1"/>
  </cols>
  <sheetData>
    <row r="1" ht="18">
      <c r="A1" s="230"/>
    </row>
    <row r="2" spans="8:9" ht="18">
      <c r="H2" s="247"/>
      <c r="I2" s="248"/>
    </row>
    <row r="4" spans="1:10" ht="20.25">
      <c r="A4" s="280"/>
      <c r="B4" s="281" t="s">
        <v>417</v>
      </c>
      <c r="C4" s="280"/>
      <c r="D4" s="280"/>
      <c r="E4" s="280"/>
      <c r="F4" s="280"/>
      <c r="G4" s="280"/>
      <c r="H4" s="280"/>
      <c r="I4" s="280"/>
      <c r="J4" s="280"/>
    </row>
    <row r="5" spans="1:10" ht="12.75">
      <c r="A5" s="275" t="s">
        <v>365</v>
      </c>
      <c r="B5" s="275" t="s">
        <v>336</v>
      </c>
      <c r="C5" s="276" t="s">
        <v>373</v>
      </c>
      <c r="D5" s="276"/>
      <c r="E5" s="276"/>
      <c r="F5" s="276"/>
      <c r="G5" s="277" t="s">
        <v>374</v>
      </c>
      <c r="H5" s="277"/>
      <c r="I5" s="277"/>
      <c r="J5" s="277"/>
    </row>
    <row r="6" spans="1:10" ht="12.75">
      <c r="A6" s="275"/>
      <c r="B6" s="275"/>
      <c r="C6" s="278">
        <v>38717</v>
      </c>
      <c r="D6" s="278">
        <v>39082</v>
      </c>
      <c r="E6" s="278">
        <v>39447</v>
      </c>
      <c r="F6" s="278">
        <v>39521</v>
      </c>
      <c r="G6" s="279">
        <v>38717</v>
      </c>
      <c r="H6" s="279">
        <v>39082</v>
      </c>
      <c r="I6" s="279">
        <v>39447</v>
      </c>
      <c r="J6" s="279" t="s">
        <v>375</v>
      </c>
    </row>
    <row r="7" spans="1:10" ht="25.5">
      <c r="A7" s="232" t="s">
        <v>376</v>
      </c>
      <c r="B7" s="232" t="s">
        <v>377</v>
      </c>
      <c r="C7" s="233" t="s">
        <v>378</v>
      </c>
      <c r="D7" s="234">
        <f>12565357+20480437</f>
        <v>33045794</v>
      </c>
      <c r="E7" s="235">
        <f>24436897+7372957</f>
        <v>31809854</v>
      </c>
      <c r="F7" s="237" t="s">
        <v>378</v>
      </c>
      <c r="G7" s="236" t="s">
        <v>378</v>
      </c>
      <c r="H7" s="236">
        <v>0.0483</v>
      </c>
      <c r="I7" s="236">
        <v>0.0178</v>
      </c>
      <c r="J7" s="236" t="s">
        <v>378</v>
      </c>
    </row>
    <row r="8" spans="1:10" ht="25.5">
      <c r="A8" s="232" t="s">
        <v>379</v>
      </c>
      <c r="B8" s="232" t="s">
        <v>377</v>
      </c>
      <c r="C8" s="233" t="s">
        <v>378</v>
      </c>
      <c r="D8" s="234">
        <f>15928679+15750000</f>
        <v>31678679</v>
      </c>
      <c r="E8" s="235">
        <f>26841055+3937500</f>
        <v>30778555</v>
      </c>
      <c r="F8" s="237" t="s">
        <v>378</v>
      </c>
      <c r="G8" s="236" t="s">
        <v>378</v>
      </c>
      <c r="H8" s="236">
        <v>0.9051</v>
      </c>
      <c r="I8" s="236">
        <v>0.4855</v>
      </c>
      <c r="J8" s="236" t="s">
        <v>378</v>
      </c>
    </row>
    <row r="9" spans="1:10" ht="25.5">
      <c r="A9" s="232" t="s">
        <v>380</v>
      </c>
      <c r="B9" s="232" t="s">
        <v>377</v>
      </c>
      <c r="C9" s="233" t="s">
        <v>378</v>
      </c>
      <c r="D9" s="234">
        <f>11403567+34810125</f>
        <v>46213692</v>
      </c>
      <c r="E9" s="235">
        <f>21879557+28035000</f>
        <v>49914557</v>
      </c>
      <c r="F9" s="237" t="s">
        <v>378</v>
      </c>
      <c r="G9" s="236" t="s">
        <v>378</v>
      </c>
      <c r="H9" s="236">
        <v>-0.1775</v>
      </c>
      <c r="I9" s="236">
        <v>0.163</v>
      </c>
      <c r="J9" s="236" t="s">
        <v>378</v>
      </c>
    </row>
    <row r="10" spans="1:10" ht="25.5">
      <c r="A10" s="232" t="s">
        <v>381</v>
      </c>
      <c r="B10" s="232" t="s">
        <v>377</v>
      </c>
      <c r="C10" s="233" t="s">
        <v>378</v>
      </c>
      <c r="D10" s="233" t="s">
        <v>378</v>
      </c>
      <c r="E10" s="235">
        <f>5780619+51810000</f>
        <v>57590619</v>
      </c>
      <c r="F10" s="237" t="s">
        <v>378</v>
      </c>
      <c r="G10" s="236" t="s">
        <v>378</v>
      </c>
      <c r="H10" s="236" t="s">
        <v>378</v>
      </c>
      <c r="I10" s="236">
        <v>-0.3717</v>
      </c>
      <c r="J10" s="236" t="s">
        <v>378</v>
      </c>
    </row>
    <row r="11" spans="1:10" ht="25.5">
      <c r="A11" s="232" t="s">
        <v>382</v>
      </c>
      <c r="B11" s="232" t="s">
        <v>377</v>
      </c>
      <c r="C11" s="233" t="s">
        <v>378</v>
      </c>
      <c r="D11" s="233" t="s">
        <v>378</v>
      </c>
      <c r="E11" s="235">
        <f>38766441+48555000</f>
        <v>87321441</v>
      </c>
      <c r="F11" s="237" t="s">
        <v>378</v>
      </c>
      <c r="G11" s="236" t="s">
        <v>378</v>
      </c>
      <c r="H11" s="236" t="s">
        <v>378</v>
      </c>
      <c r="I11" s="236">
        <v>0.2434</v>
      </c>
      <c r="J11" s="236" t="s">
        <v>378</v>
      </c>
    </row>
    <row r="12" spans="1:10" ht="25.5">
      <c r="A12" s="232" t="s">
        <v>383</v>
      </c>
      <c r="B12" s="232" t="s">
        <v>377</v>
      </c>
      <c r="C12" s="233" t="s">
        <v>378</v>
      </c>
      <c r="D12" s="233" t="s">
        <v>378</v>
      </c>
      <c r="E12" s="235">
        <f>11191189+38057267</f>
        <v>49248456</v>
      </c>
      <c r="F12" s="237" t="s">
        <v>378</v>
      </c>
      <c r="G12" s="236" t="s">
        <v>378</v>
      </c>
      <c r="H12" s="236" t="s">
        <v>378</v>
      </c>
      <c r="I12" s="236" t="s">
        <v>378</v>
      </c>
      <c r="J12" s="236" t="s">
        <v>378</v>
      </c>
    </row>
    <row r="13" spans="1:10" ht="25.5">
      <c r="A13" s="232" t="s">
        <v>384</v>
      </c>
      <c r="B13" s="232" t="s">
        <v>385</v>
      </c>
      <c r="C13" s="235">
        <f>13551811+8047940</f>
        <v>21599751</v>
      </c>
      <c r="D13" s="235">
        <f>15674668+6909275</f>
        <v>22583943</v>
      </c>
      <c r="E13" s="235">
        <f>13917767+5597133</f>
        <v>19514900</v>
      </c>
      <c r="F13" s="237" t="s">
        <v>378</v>
      </c>
      <c r="G13" s="236">
        <v>-0.1596</v>
      </c>
      <c r="H13" s="236">
        <v>-0.0409</v>
      </c>
      <c r="I13" s="236">
        <v>-0.0674</v>
      </c>
      <c r="J13" s="236" t="s">
        <v>378</v>
      </c>
    </row>
    <row r="14" spans="1:10" ht="25.5">
      <c r="A14" s="232" t="s">
        <v>386</v>
      </c>
      <c r="B14" s="232" t="s">
        <v>385</v>
      </c>
      <c r="C14" s="235">
        <f>11144225+6612454</f>
        <v>17756679</v>
      </c>
      <c r="D14" s="235">
        <f>12908056+5659584</f>
        <v>18567640</v>
      </c>
      <c r="E14" s="235">
        <f>11446897+4591658</f>
        <v>16038555</v>
      </c>
      <c r="F14" s="237" t="s">
        <v>378</v>
      </c>
      <c r="G14" s="236">
        <v>-0.1596</v>
      </c>
      <c r="H14" s="236">
        <v>-0.0409</v>
      </c>
      <c r="I14" s="236">
        <v>-0.0674</v>
      </c>
      <c r="J14" s="236" t="s">
        <v>378</v>
      </c>
    </row>
    <row r="15" spans="1:10" ht="25.5">
      <c r="A15" s="232" t="s">
        <v>387</v>
      </c>
      <c r="B15" s="232" t="s">
        <v>385</v>
      </c>
      <c r="C15" s="235">
        <f>53882218+34972655</f>
        <v>88854873</v>
      </c>
      <c r="D15" s="235">
        <f>62751838+31120351</f>
        <v>93872189</v>
      </c>
      <c r="E15" s="235">
        <f>55385969+27944507</f>
        <v>83330476</v>
      </c>
      <c r="F15" s="237" t="s">
        <v>378</v>
      </c>
      <c r="G15" s="236">
        <v>-0.1459</v>
      </c>
      <c r="H15" s="236">
        <v>-0.0267</v>
      </c>
      <c r="I15" s="236">
        <v>-0.0503</v>
      </c>
      <c r="J15" s="236" t="s">
        <v>378</v>
      </c>
    </row>
    <row r="16" spans="1:10" ht="25.5">
      <c r="A16" s="232" t="s">
        <v>388</v>
      </c>
      <c r="B16" s="232" t="s">
        <v>385</v>
      </c>
      <c r="C16" s="235">
        <f>2522701+5386990.86</f>
        <v>7909691.86</v>
      </c>
      <c r="D16" s="235">
        <f>5579884+5786027</f>
        <v>11365911</v>
      </c>
      <c r="E16" s="235">
        <f>4003982+5187472.68</f>
        <v>9191454.68</v>
      </c>
      <c r="F16" s="237" t="s">
        <v>378</v>
      </c>
      <c r="G16" s="236">
        <v>-0.3824</v>
      </c>
      <c r="H16" s="236">
        <v>-0.0706</v>
      </c>
      <c r="I16" s="236">
        <v>-0.1426</v>
      </c>
      <c r="J16" s="236" t="s">
        <v>378</v>
      </c>
    </row>
    <row r="17" spans="1:10" ht="25.5">
      <c r="A17" s="232" t="s">
        <v>389</v>
      </c>
      <c r="B17" s="232" t="s">
        <v>390</v>
      </c>
      <c r="C17" s="235">
        <v>76977864</v>
      </c>
      <c r="D17" s="235">
        <v>63455637</v>
      </c>
      <c r="E17" s="235">
        <v>43007134</v>
      </c>
      <c r="F17" s="237" t="s">
        <v>378</v>
      </c>
      <c r="G17" s="236">
        <v>0.036</v>
      </c>
      <c r="H17" s="236">
        <v>0.0455</v>
      </c>
      <c r="I17" s="236">
        <v>0.0503</v>
      </c>
      <c r="J17" s="236" t="s">
        <v>378</v>
      </c>
    </row>
    <row r="18" spans="1:10" ht="25.5">
      <c r="A18" s="232" t="s">
        <v>391</v>
      </c>
      <c r="B18" s="232" t="s">
        <v>390</v>
      </c>
      <c r="C18" s="235">
        <v>74648625</v>
      </c>
      <c r="D18" s="235">
        <v>64525794</v>
      </c>
      <c r="E18" s="235">
        <v>39745540</v>
      </c>
      <c r="F18" s="237" t="s">
        <v>378</v>
      </c>
      <c r="G18" s="236">
        <v>0.0732</v>
      </c>
      <c r="H18" s="236">
        <v>0.088</v>
      </c>
      <c r="I18" s="236">
        <v>0.0843</v>
      </c>
      <c r="J18" s="236" t="s">
        <v>378</v>
      </c>
    </row>
    <row r="19" spans="1:10" ht="25.5">
      <c r="A19" s="232" t="s">
        <v>392</v>
      </c>
      <c r="B19" s="232" t="s">
        <v>390</v>
      </c>
      <c r="C19" s="235">
        <f>81824403+33506500</f>
        <v>115330903</v>
      </c>
      <c r="D19" s="235">
        <v>109605602</v>
      </c>
      <c r="E19" s="235">
        <v>93778032</v>
      </c>
      <c r="F19" s="237" t="s">
        <v>378</v>
      </c>
      <c r="G19" s="236">
        <v>-0.0391</v>
      </c>
      <c r="H19" s="236">
        <v>-0.0034</v>
      </c>
      <c r="I19" s="236">
        <v>0.0122</v>
      </c>
      <c r="J19" s="236" t="s">
        <v>378</v>
      </c>
    </row>
    <row r="20" spans="1:10" ht="25.5">
      <c r="A20" s="232" t="s">
        <v>393</v>
      </c>
      <c r="B20" s="232" t="s">
        <v>390</v>
      </c>
      <c r="C20" s="235">
        <f>102619028+24619500</f>
        <v>127238528</v>
      </c>
      <c r="D20" s="235">
        <v>95172707</v>
      </c>
      <c r="E20" s="235">
        <v>86306708</v>
      </c>
      <c r="F20" s="237" t="s">
        <v>378</v>
      </c>
      <c r="G20" s="236">
        <v>0.0912</v>
      </c>
      <c r="H20" s="236">
        <v>0.0919</v>
      </c>
      <c r="I20" s="236">
        <v>0.1012</v>
      </c>
      <c r="J20" s="236" t="s">
        <v>378</v>
      </c>
    </row>
    <row r="21" spans="1:10" ht="38.25">
      <c r="A21" s="232" t="s">
        <v>394</v>
      </c>
      <c r="B21" s="232" t="s">
        <v>395</v>
      </c>
      <c r="C21" s="235">
        <v>8723737</v>
      </c>
      <c r="D21" s="235">
        <v>8410228</v>
      </c>
      <c r="E21" s="235">
        <v>5349180</v>
      </c>
      <c r="F21" s="237" t="s">
        <v>378</v>
      </c>
      <c r="G21" s="236">
        <v>-0.1636</v>
      </c>
      <c r="H21" s="236">
        <v>-0.1547</v>
      </c>
      <c r="I21" s="236">
        <v>-0.1492</v>
      </c>
      <c r="J21" s="236" t="s">
        <v>378</v>
      </c>
    </row>
    <row r="22" spans="1:10" ht="38.25">
      <c r="A22" s="232" t="s">
        <v>396</v>
      </c>
      <c r="B22" s="232" t="s">
        <v>395</v>
      </c>
      <c r="C22" s="235">
        <v>2006916</v>
      </c>
      <c r="D22" s="235">
        <v>1951679</v>
      </c>
      <c r="E22" s="235">
        <v>1164919</v>
      </c>
      <c r="F22" s="237" t="s">
        <v>378</v>
      </c>
      <c r="G22" s="236">
        <v>-0.1636</v>
      </c>
      <c r="H22" s="236">
        <v>-0.1547</v>
      </c>
      <c r="I22" s="236">
        <v>-0.1492</v>
      </c>
      <c r="J22" s="236" t="s">
        <v>378</v>
      </c>
    </row>
    <row r="23" spans="1:10" ht="38.25">
      <c r="A23" s="232" t="s">
        <v>397</v>
      </c>
      <c r="B23" s="232" t="s">
        <v>395</v>
      </c>
      <c r="C23" s="235">
        <v>174775678</v>
      </c>
      <c r="D23" s="235">
        <v>153891869</v>
      </c>
      <c r="E23" s="235">
        <v>167255891</v>
      </c>
      <c r="F23" s="237" t="s">
        <v>378</v>
      </c>
      <c r="G23" s="236">
        <v>0.0748</v>
      </c>
      <c r="H23" s="236">
        <v>0.1144</v>
      </c>
      <c r="I23" s="236">
        <v>0.119</v>
      </c>
      <c r="J23" s="236" t="s">
        <v>378</v>
      </c>
    </row>
    <row r="24" spans="1:10" ht="38.25">
      <c r="A24" s="232" t="s">
        <v>398</v>
      </c>
      <c r="B24" s="232" t="s">
        <v>395</v>
      </c>
      <c r="C24" s="235">
        <v>90467591</v>
      </c>
      <c r="D24" s="235">
        <v>81398552</v>
      </c>
      <c r="E24" s="235">
        <v>87267496</v>
      </c>
      <c r="F24" s="237" t="s">
        <v>378</v>
      </c>
      <c r="G24" s="236">
        <v>0.0748</v>
      </c>
      <c r="H24" s="236">
        <v>0.1144</v>
      </c>
      <c r="I24" s="236">
        <v>0.119</v>
      </c>
      <c r="J24" s="236" t="s">
        <v>378</v>
      </c>
    </row>
    <row r="25" spans="1:10" ht="51">
      <c r="A25" s="232" t="s">
        <v>399</v>
      </c>
      <c r="B25" s="232" t="s">
        <v>400</v>
      </c>
      <c r="C25" s="235">
        <v>60300000</v>
      </c>
      <c r="D25" s="235">
        <v>192500000</v>
      </c>
      <c r="E25" s="235">
        <v>542100000</v>
      </c>
      <c r="F25" s="237" t="s">
        <v>378</v>
      </c>
      <c r="G25" s="236">
        <v>0.059</v>
      </c>
      <c r="H25" s="236">
        <v>0.343</v>
      </c>
      <c r="I25" s="236">
        <v>0.172</v>
      </c>
      <c r="J25" s="236" t="s">
        <v>378</v>
      </c>
    </row>
    <row r="26" spans="1:10" ht="25.5">
      <c r="A26" s="232" t="s">
        <v>401</v>
      </c>
      <c r="B26" s="232" t="s">
        <v>390</v>
      </c>
      <c r="C26" s="235">
        <v>24186646</v>
      </c>
      <c r="D26" s="235">
        <v>19548653</v>
      </c>
      <c r="E26" s="235">
        <v>12902769</v>
      </c>
      <c r="F26" s="237" t="s">
        <v>378</v>
      </c>
      <c r="G26" s="236">
        <v>0.0456</v>
      </c>
      <c r="H26" s="236">
        <v>0.059</v>
      </c>
      <c r="I26" s="236">
        <v>0.0578</v>
      </c>
      <c r="J26" s="236" t="s">
        <v>378</v>
      </c>
    </row>
    <row r="27" spans="1:10" ht="25.5">
      <c r="A27" s="232" t="s">
        <v>402</v>
      </c>
      <c r="B27" s="232" t="s">
        <v>390</v>
      </c>
      <c r="C27" s="235">
        <f>31949080+25861250-5000</f>
        <v>57805330</v>
      </c>
      <c r="D27" s="235">
        <f>35662126+25861250-5000</f>
        <v>61518376</v>
      </c>
      <c r="E27" s="235">
        <f>40876959+25861250-5000</f>
        <v>66733209</v>
      </c>
      <c r="F27" s="237" t="s">
        <v>378</v>
      </c>
      <c r="G27" s="236">
        <v>0.1615</v>
      </c>
      <c r="H27" s="236">
        <v>0.1566</v>
      </c>
      <c r="I27" s="236">
        <v>0.1682</v>
      </c>
      <c r="J27" s="236" t="s">
        <v>378</v>
      </c>
    </row>
    <row r="28" spans="1:10" ht="25.5">
      <c r="A28" s="232" t="s">
        <v>403</v>
      </c>
      <c r="B28" s="232" t="s">
        <v>404</v>
      </c>
      <c r="C28" s="235">
        <v>97298935</v>
      </c>
      <c r="D28" s="235">
        <v>64087055</v>
      </c>
      <c r="E28" s="235">
        <v>47636660</v>
      </c>
      <c r="F28" s="237" t="s">
        <v>378</v>
      </c>
      <c r="G28" s="236">
        <v>0.3619</v>
      </c>
      <c r="H28" s="236">
        <v>0.2526</v>
      </c>
      <c r="I28" s="236">
        <v>0.1973</v>
      </c>
      <c r="J28" s="236" t="s">
        <v>378</v>
      </c>
    </row>
    <row r="29" spans="1:10" ht="25.5">
      <c r="A29" s="232" t="s">
        <v>405</v>
      </c>
      <c r="B29" s="232" t="s">
        <v>406</v>
      </c>
      <c r="C29" s="235">
        <v>207171777</v>
      </c>
      <c r="D29" s="235">
        <v>140575968</v>
      </c>
      <c r="E29" s="235">
        <v>115758332</v>
      </c>
      <c r="F29" s="237" t="s">
        <v>378</v>
      </c>
      <c r="G29" s="236">
        <v>0.2986</v>
      </c>
      <c r="H29" s="236">
        <v>0.2267</v>
      </c>
      <c r="I29" s="236">
        <v>0.1929</v>
      </c>
      <c r="J29" s="236" t="s">
        <v>378</v>
      </c>
    </row>
    <row r="30" spans="1:10" ht="25.5">
      <c r="A30" s="232" t="s">
        <v>407</v>
      </c>
      <c r="B30" s="232" t="s">
        <v>404</v>
      </c>
      <c r="C30" s="235">
        <v>62001351</v>
      </c>
      <c r="D30" s="235">
        <v>42810298</v>
      </c>
      <c r="E30" s="235">
        <v>25323031</v>
      </c>
      <c r="F30" s="237" t="s">
        <v>378</v>
      </c>
      <c r="G30" s="236">
        <v>1.521</v>
      </c>
      <c r="H30" s="236">
        <v>0.775</v>
      </c>
      <c r="I30" s="236">
        <v>0.417</v>
      </c>
      <c r="J30" s="236" t="s">
        <v>378</v>
      </c>
    </row>
    <row r="31" spans="1:10" ht="25.5">
      <c r="A31" s="232" t="s">
        <v>408</v>
      </c>
      <c r="B31" s="232" t="s">
        <v>406</v>
      </c>
      <c r="C31" s="235">
        <f>127562845+18730970</f>
        <v>146293815</v>
      </c>
      <c r="D31" s="235">
        <f>105090514+16836939</f>
        <v>121927453</v>
      </c>
      <c r="E31" s="235">
        <f>72885644+16836939</f>
        <v>89722583</v>
      </c>
      <c r="F31" s="237" t="s">
        <v>378</v>
      </c>
      <c r="G31" s="236">
        <v>1.4755</v>
      </c>
      <c r="H31" s="236">
        <v>0.7731</v>
      </c>
      <c r="I31" s="236">
        <v>0.4133</v>
      </c>
      <c r="J31" s="236" t="s">
        <v>378</v>
      </c>
    </row>
    <row r="32" spans="1:10" ht="25.5">
      <c r="A32" s="232" t="s">
        <v>409</v>
      </c>
      <c r="B32" s="232" t="s">
        <v>404</v>
      </c>
      <c r="C32" s="235">
        <f>37949516+28574858</f>
        <v>66524374</v>
      </c>
      <c r="D32" s="235">
        <f>45980544+9764220</f>
        <v>55744764</v>
      </c>
      <c r="E32" s="235">
        <f>85456812+7519700</f>
        <v>92976512</v>
      </c>
      <c r="F32" s="237" t="s">
        <v>378</v>
      </c>
      <c r="G32" s="236">
        <v>-0.1512</v>
      </c>
      <c r="H32" s="236">
        <v>-0.0335</v>
      </c>
      <c r="I32" s="236">
        <v>0.42</v>
      </c>
      <c r="J32" s="236" t="s">
        <v>378</v>
      </c>
    </row>
    <row r="33" spans="1:10" ht="25.5">
      <c r="A33" s="232" t="s">
        <v>410</v>
      </c>
      <c r="B33" s="232" t="s">
        <v>404</v>
      </c>
      <c r="C33" s="237" t="s">
        <v>378</v>
      </c>
      <c r="D33" s="235">
        <f>29923082+81863645</f>
        <v>111786727</v>
      </c>
      <c r="E33" s="235">
        <f>54301734+8385335</f>
        <v>62687069</v>
      </c>
      <c r="F33" s="237" t="s">
        <v>378</v>
      </c>
      <c r="G33" s="236" t="s">
        <v>378</v>
      </c>
      <c r="H33" s="236">
        <v>-0.2699</v>
      </c>
      <c r="I33" s="236">
        <v>-0.0872</v>
      </c>
      <c r="J33" s="236" t="s">
        <v>378</v>
      </c>
    </row>
    <row r="34" spans="1:10" ht="25.5">
      <c r="A34" s="232" t="s">
        <v>411</v>
      </c>
      <c r="B34" s="232" t="s">
        <v>390</v>
      </c>
      <c r="C34" s="237" t="s">
        <v>378</v>
      </c>
      <c r="D34" s="237" t="s">
        <v>378</v>
      </c>
      <c r="E34" s="235">
        <v>50000000</v>
      </c>
      <c r="F34" s="237" t="s">
        <v>378</v>
      </c>
      <c r="G34" s="236" t="s">
        <v>378</v>
      </c>
      <c r="H34" s="236" t="s">
        <v>378</v>
      </c>
      <c r="I34" s="236">
        <v>0.556</v>
      </c>
      <c r="J34" s="236" t="s">
        <v>378</v>
      </c>
    </row>
    <row r="35" spans="1:10" ht="12.75">
      <c r="A35" s="239"/>
      <c r="B35" s="239"/>
      <c r="C35" s="242"/>
      <c r="D35" s="242"/>
      <c r="E35" s="243"/>
      <c r="F35" s="242"/>
      <c r="G35" s="244"/>
      <c r="H35" s="244"/>
      <c r="I35" s="244"/>
      <c r="J35" s="244"/>
    </row>
    <row r="36" spans="1:10" ht="12.75">
      <c r="A36" s="238" t="s">
        <v>369</v>
      </c>
      <c r="B36" s="239"/>
      <c r="C36" s="240"/>
      <c r="D36" s="240"/>
      <c r="E36" s="240"/>
      <c r="F36" s="240"/>
      <c r="G36" s="241"/>
      <c r="H36" s="241"/>
      <c r="I36" s="241"/>
      <c r="J36" s="241"/>
    </row>
    <row r="37" spans="1:10" ht="12.75">
      <c r="A37" s="238"/>
      <c r="B37" s="239"/>
      <c r="C37" s="240"/>
      <c r="D37" s="240"/>
      <c r="E37" s="240"/>
      <c r="F37" s="240"/>
      <c r="G37" s="241"/>
      <c r="H37" s="241"/>
      <c r="I37" s="241"/>
      <c r="J37" s="241"/>
    </row>
    <row r="38" spans="1:10" ht="12.75">
      <c r="A38" s="286" t="s">
        <v>412</v>
      </c>
      <c r="B38" s="286"/>
      <c r="C38" s="286"/>
      <c r="D38" s="286"/>
      <c r="E38" s="286"/>
      <c r="F38" s="286"/>
      <c r="G38" s="286"/>
      <c r="H38" s="286"/>
      <c r="I38" s="286"/>
      <c r="J38" s="286"/>
    </row>
    <row r="39" spans="1:10" ht="12.75">
      <c r="A39" s="286"/>
      <c r="B39" s="286"/>
      <c r="C39" s="286"/>
      <c r="D39" s="286"/>
      <c r="E39" s="286"/>
      <c r="F39" s="286"/>
      <c r="G39" s="286"/>
      <c r="H39" s="286"/>
      <c r="I39" s="286"/>
      <c r="J39" s="286"/>
    </row>
    <row r="40" spans="1:10" ht="12.75">
      <c r="A40" s="238"/>
      <c r="B40" s="239"/>
      <c r="C40" s="240"/>
      <c r="D40" s="240"/>
      <c r="E40" s="240"/>
      <c r="F40" s="240"/>
      <c r="G40" s="241"/>
      <c r="H40" s="241"/>
      <c r="I40" s="241"/>
      <c r="J40" s="241"/>
    </row>
    <row r="41" spans="1:10" ht="12.75" customHeight="1">
      <c r="A41" s="238" t="s">
        <v>413</v>
      </c>
      <c r="B41" s="238"/>
      <c r="C41" s="238"/>
      <c r="D41" s="238"/>
      <c r="E41" s="238"/>
      <c r="F41" s="238"/>
      <c r="G41" s="238"/>
      <c r="H41" s="238"/>
      <c r="I41" s="238"/>
      <c r="J41" s="238"/>
    </row>
    <row r="42" spans="1:10" ht="12.75">
      <c r="A42" s="238"/>
      <c r="B42" s="239"/>
      <c r="C42" s="240"/>
      <c r="D42" s="240"/>
      <c r="E42" s="240"/>
      <c r="F42" s="240"/>
      <c r="G42" s="241"/>
      <c r="H42" s="241"/>
      <c r="I42" s="241"/>
      <c r="J42" s="241"/>
    </row>
    <row r="43" spans="1:10" ht="12.75">
      <c r="A43" s="238" t="s">
        <v>414</v>
      </c>
      <c r="B43" s="238"/>
      <c r="C43" s="238"/>
      <c r="D43" s="238"/>
      <c r="E43" s="238"/>
      <c r="F43" s="238"/>
      <c r="G43" s="238"/>
      <c r="H43" s="238"/>
      <c r="I43" s="238"/>
      <c r="J43" s="238"/>
    </row>
    <row r="44" spans="1:10" ht="12.75">
      <c r="A44" s="238"/>
      <c r="B44" s="239"/>
      <c r="C44" s="240"/>
      <c r="D44" s="240"/>
      <c r="E44" s="240"/>
      <c r="F44" s="240"/>
      <c r="G44" s="241"/>
      <c r="H44" s="241"/>
      <c r="I44" s="241"/>
      <c r="J44" s="241"/>
    </row>
    <row r="45" spans="1:10" ht="12.75">
      <c r="A45" s="238"/>
      <c r="B45" s="239"/>
      <c r="C45" s="240"/>
      <c r="D45" s="240"/>
      <c r="E45" s="240"/>
      <c r="F45" s="240"/>
      <c r="G45" s="241"/>
      <c r="H45" s="241"/>
      <c r="I45" s="241"/>
      <c r="J45" s="241"/>
    </row>
    <row r="46" spans="1:10" ht="12.75">
      <c r="A46" s="238"/>
      <c r="B46" s="239"/>
      <c r="C46" s="240"/>
      <c r="D46" s="240"/>
      <c r="E46" s="240"/>
      <c r="F46" s="240"/>
      <c r="G46" s="241"/>
      <c r="H46" s="241"/>
      <c r="I46" s="241"/>
      <c r="J46" s="241"/>
    </row>
    <row r="47" spans="1:10" ht="12.75">
      <c r="A47" s="238"/>
      <c r="B47" s="239"/>
      <c r="C47" s="240"/>
      <c r="D47" s="240"/>
      <c r="E47" s="240"/>
      <c r="F47" s="240"/>
      <c r="G47" s="241"/>
      <c r="H47" s="241"/>
      <c r="I47" s="241"/>
      <c r="J47" s="241"/>
    </row>
    <row r="48" spans="1:10" ht="12.75">
      <c r="A48" s="238"/>
      <c r="B48" s="239"/>
      <c r="C48" s="240"/>
      <c r="D48" s="240"/>
      <c r="E48" s="240"/>
      <c r="F48" s="240"/>
      <c r="G48" s="241"/>
      <c r="H48" s="241"/>
      <c r="I48" s="241"/>
      <c r="J48" s="241"/>
    </row>
    <row r="49" spans="1:10" ht="12.75">
      <c r="A49" s="238"/>
      <c r="B49" s="239"/>
      <c r="C49" s="240"/>
      <c r="D49" s="240"/>
      <c r="E49" s="240"/>
      <c r="F49" s="240"/>
      <c r="G49" s="241"/>
      <c r="H49" s="241"/>
      <c r="I49" s="241"/>
      <c r="J49" s="241"/>
    </row>
    <row r="50" spans="1:10" ht="12.75">
      <c r="A50" s="238"/>
      <c r="B50" s="239"/>
      <c r="C50" s="240"/>
      <c r="D50" s="240"/>
      <c r="E50" s="240"/>
      <c r="F50" s="240"/>
      <c r="G50" s="241"/>
      <c r="H50" s="241"/>
      <c r="I50" s="241"/>
      <c r="J50" s="241"/>
    </row>
    <row r="51" spans="1:10" ht="12.75">
      <c r="A51" s="238"/>
      <c r="B51" s="239"/>
      <c r="C51" s="240"/>
      <c r="D51" s="240"/>
      <c r="E51" s="240"/>
      <c r="F51" s="240"/>
      <c r="G51" s="241"/>
      <c r="H51" s="241"/>
      <c r="I51" s="241"/>
      <c r="J51" s="241"/>
    </row>
    <row r="52" spans="1:10" ht="12.75">
      <c r="A52" s="238"/>
      <c r="B52" s="239"/>
      <c r="C52" s="240"/>
      <c r="D52" s="240"/>
      <c r="E52" s="240"/>
      <c r="F52" s="240"/>
      <c r="G52" s="241"/>
      <c r="H52" s="241"/>
      <c r="I52" s="241"/>
      <c r="J52" s="241"/>
    </row>
    <row r="53" spans="1:10" ht="12.75">
      <c r="A53" s="238"/>
      <c r="B53" s="239"/>
      <c r="C53" s="240"/>
      <c r="D53" s="240"/>
      <c r="E53" s="240"/>
      <c r="F53" s="240"/>
      <c r="G53" s="241"/>
      <c r="H53" s="241"/>
      <c r="I53" s="241"/>
      <c r="J53" s="241"/>
    </row>
    <row r="54" spans="1:10" ht="12.75">
      <c r="A54" s="238"/>
      <c r="B54" s="239"/>
      <c r="C54" s="240"/>
      <c r="D54" s="240"/>
      <c r="E54" s="240"/>
      <c r="F54" s="240"/>
      <c r="G54" s="241"/>
      <c r="H54" s="241"/>
      <c r="I54" s="241"/>
      <c r="J54" s="241"/>
    </row>
    <row r="55" spans="1:10" ht="12.75">
      <c r="A55" s="238"/>
      <c r="B55" s="239"/>
      <c r="C55" s="240"/>
      <c r="D55" s="240"/>
      <c r="E55" s="240"/>
      <c r="F55" s="240"/>
      <c r="G55" s="241"/>
      <c r="H55" s="241"/>
      <c r="I55" s="241"/>
      <c r="J55" s="241"/>
    </row>
    <row r="56" spans="1:10" ht="12.75">
      <c r="A56" s="238"/>
      <c r="B56" s="239"/>
      <c r="C56" s="240"/>
      <c r="D56" s="240"/>
      <c r="E56" s="240"/>
      <c r="F56" s="240"/>
      <c r="G56" s="241"/>
      <c r="H56" s="241"/>
      <c r="I56" s="241"/>
      <c r="J56" s="241"/>
    </row>
    <row r="57" spans="1:10" ht="12.75">
      <c r="A57" s="238"/>
      <c r="B57" s="239"/>
      <c r="C57" s="240"/>
      <c r="D57" s="240"/>
      <c r="E57" s="240"/>
      <c r="F57" s="240"/>
      <c r="G57" s="241"/>
      <c r="H57" s="241"/>
      <c r="I57" s="241"/>
      <c r="J57" s="241"/>
    </row>
    <row r="58" spans="1:10" ht="12.75">
      <c r="A58" s="238"/>
      <c r="B58" s="238"/>
      <c r="C58" s="238"/>
      <c r="D58" s="238"/>
      <c r="E58" s="238"/>
      <c r="F58" s="238"/>
      <c r="G58" s="238"/>
      <c r="H58" s="238"/>
      <c r="I58" s="238"/>
      <c r="J58" s="238"/>
    </row>
    <row r="59" spans="1:10" ht="12.75">
      <c r="A59" s="238"/>
      <c r="B59" s="238"/>
      <c r="C59" s="238"/>
      <c r="D59" s="238"/>
      <c r="E59" s="238"/>
      <c r="F59" s="238"/>
      <c r="G59" s="238"/>
      <c r="H59" s="238"/>
      <c r="I59" s="238"/>
      <c r="J59" s="238"/>
    </row>
    <row r="60" spans="1:10" ht="12.75">
      <c r="A60" s="238"/>
      <c r="B60" s="238"/>
      <c r="C60" s="238"/>
      <c r="D60" s="238"/>
      <c r="E60" s="238"/>
      <c r="F60" s="238"/>
      <c r="G60" s="238"/>
      <c r="H60" s="238"/>
      <c r="I60" s="238"/>
      <c r="J60" s="238"/>
    </row>
  </sheetData>
  <sheetProtection/>
  <mergeCells count="1">
    <mergeCell ref="A38:J39"/>
  </mergeCells>
  <printOptions horizontalCentered="1"/>
  <pageMargins left="0.5" right="0.5" top="0.5" bottom="0.5" header="0.25" footer="0.25"/>
  <pageSetup horizontalDpi="600" verticalDpi="600" orientation="landscape" pageOrder="overThenDown" paperSize="5" scale="80" r:id="rId1"/>
  <headerFooter alignWithMargins="0">
    <oddHeader>&amp;C&amp;"Arial,Bold"&amp;12Response to the Financial Crisis Inquiry Commission
April 18, 2010 Letter</oddHeader>
    <oddFooter>&amp;L&amp;"Arial,Bold"&amp;12CONFIDENTIAL TREATMENT REQUESTED BY JPMORGAN&amp;R&amp;"Arial,Bold"&amp;12BSC-FCIC 00000690</oddFooter>
  </headerFooter>
</worksheet>
</file>

<file path=xl/worksheets/sheet6.xml><?xml version="1.0" encoding="utf-8"?>
<worksheet xmlns="http://schemas.openxmlformats.org/spreadsheetml/2006/main" xmlns:r="http://schemas.openxmlformats.org/officeDocument/2006/relationships">
  <sheetPr>
    <tabColor rgb="FF92D050"/>
  </sheetPr>
  <dimension ref="A1:K71"/>
  <sheetViews>
    <sheetView showGridLines="0" tabSelected="1" view="pageBreakPreview" zoomScaleNormal="75" zoomScaleSheetLayoutView="100" zoomScalePageLayoutView="0" workbookViewId="0" topLeftCell="A1">
      <pane xSplit="1" ySplit="4" topLeftCell="I5" activePane="bottomRight" state="frozen"/>
      <selection pane="topLeft" activeCell="A1" sqref="A1"/>
      <selection pane="topRight" activeCell="B1" sqref="B1"/>
      <selection pane="bottomLeft" activeCell="A7" sqref="A7"/>
      <selection pane="bottomRight" activeCell="M71" sqref="M71"/>
    </sheetView>
  </sheetViews>
  <sheetFormatPr defaultColWidth="9.140625" defaultRowHeight="12.75"/>
  <cols>
    <col min="1" max="1" width="68.421875" style="231" customWidth="1"/>
    <col min="2" max="2" width="51.140625" style="231" customWidth="1"/>
    <col min="3" max="3" width="20.8515625" style="231" customWidth="1"/>
    <col min="4" max="4" width="20.57421875" style="231" customWidth="1"/>
    <col min="5" max="5" width="20.7109375" style="231" customWidth="1"/>
    <col min="6" max="6" width="17.28125" style="231" customWidth="1"/>
    <col min="7" max="7" width="18.7109375" style="231" customWidth="1"/>
    <col min="8" max="8" width="14.421875" style="231" customWidth="1"/>
    <col min="9" max="9" width="17.00390625" style="231" customWidth="1"/>
    <col min="10" max="10" width="16.57421875" style="231" customWidth="1"/>
    <col min="11" max="11" width="9.140625" style="231" customWidth="1"/>
    <col min="12" max="12" width="11.7109375" style="231" customWidth="1"/>
    <col min="13" max="13" width="11.8515625" style="231" customWidth="1"/>
    <col min="14" max="16384" width="9.140625" style="231" customWidth="1"/>
  </cols>
  <sheetData>
    <row r="1" spans="1:2" s="249" customFormat="1" ht="24.75" customHeight="1">
      <c r="A1" s="271" t="s">
        <v>465</v>
      </c>
      <c r="B1" s="250"/>
    </row>
    <row r="2" spans="1:10" ht="20.25">
      <c r="A2" s="245"/>
      <c r="B2" s="246" t="s">
        <v>417</v>
      </c>
      <c r="C2" s="245"/>
      <c r="D2" s="245"/>
      <c r="E2" s="245"/>
      <c r="F2" s="245"/>
      <c r="G2" s="245"/>
      <c r="H2" s="245"/>
      <c r="I2" s="245"/>
      <c r="J2" s="245"/>
    </row>
    <row r="3" spans="1:10" ht="12.75">
      <c r="A3" s="275" t="s">
        <v>365</v>
      </c>
      <c r="B3" s="275" t="s">
        <v>336</v>
      </c>
      <c r="C3" s="276"/>
      <c r="D3" s="276"/>
      <c r="E3" s="276"/>
      <c r="F3" s="276"/>
      <c r="G3" s="277" t="s">
        <v>303</v>
      </c>
      <c r="H3" s="277"/>
      <c r="I3" s="277"/>
      <c r="J3" s="277"/>
    </row>
    <row r="4" spans="1:10" ht="14.25">
      <c r="A4" s="275"/>
      <c r="B4" s="275"/>
      <c r="C4" s="278">
        <v>38717</v>
      </c>
      <c r="D4" s="278">
        <v>39082</v>
      </c>
      <c r="E4" s="278">
        <v>39447</v>
      </c>
      <c r="F4" s="278" t="s">
        <v>415</v>
      </c>
      <c r="G4" s="279">
        <v>38717</v>
      </c>
      <c r="H4" s="279">
        <v>39082</v>
      </c>
      <c r="I4" s="279">
        <v>39447</v>
      </c>
      <c r="J4" s="279" t="s">
        <v>418</v>
      </c>
    </row>
    <row r="5" spans="1:11" s="253" customFormat="1" ht="38.25">
      <c r="A5" s="254" t="s">
        <v>419</v>
      </c>
      <c r="B5" s="255" t="s">
        <v>420</v>
      </c>
      <c r="C5" s="237" t="s">
        <v>304</v>
      </c>
      <c r="D5" s="237" t="s">
        <v>304</v>
      </c>
      <c r="E5" s="256">
        <v>51000000</v>
      </c>
      <c r="F5" s="257">
        <v>53116004.41</v>
      </c>
      <c r="G5" s="236" t="s">
        <v>304</v>
      </c>
      <c r="H5" s="236" t="s">
        <v>304</v>
      </c>
      <c r="I5" s="258">
        <v>0.0262</v>
      </c>
      <c r="J5" s="236">
        <v>0</v>
      </c>
      <c r="K5" s="272"/>
    </row>
    <row r="6" spans="1:11" s="253" customFormat="1" ht="27">
      <c r="A6" s="255" t="s">
        <v>421</v>
      </c>
      <c r="B6" s="255" t="s">
        <v>370</v>
      </c>
      <c r="C6" s="237" t="s">
        <v>304</v>
      </c>
      <c r="D6" s="237" t="s">
        <v>304</v>
      </c>
      <c r="E6" s="256">
        <v>0</v>
      </c>
      <c r="F6" s="237" t="s">
        <v>304</v>
      </c>
      <c r="G6" s="236" t="s">
        <v>304</v>
      </c>
      <c r="H6" s="258">
        <v>0.0616</v>
      </c>
      <c r="I6" s="236">
        <v>-1</v>
      </c>
      <c r="J6" s="236" t="s">
        <v>304</v>
      </c>
      <c r="K6" s="272"/>
    </row>
    <row r="7" spans="1:11" s="253" customFormat="1" ht="25.5">
      <c r="A7" s="255" t="s">
        <v>422</v>
      </c>
      <c r="B7" s="255" t="s">
        <v>370</v>
      </c>
      <c r="C7" s="257">
        <v>1477015008</v>
      </c>
      <c r="D7" s="257">
        <v>1556674931</v>
      </c>
      <c r="E7" s="256">
        <v>0</v>
      </c>
      <c r="F7" s="237" t="s">
        <v>304</v>
      </c>
      <c r="G7" s="258">
        <v>0.0946</v>
      </c>
      <c r="H7" s="236" t="s">
        <v>322</v>
      </c>
      <c r="I7" s="236">
        <v>-1</v>
      </c>
      <c r="J7" s="236" t="s">
        <v>304</v>
      </c>
      <c r="K7" s="272"/>
    </row>
    <row r="8" spans="1:11" s="253" customFormat="1" ht="51">
      <c r="A8" s="254" t="s">
        <v>313</v>
      </c>
      <c r="B8" s="255" t="s">
        <v>325</v>
      </c>
      <c r="C8" s="237" t="s">
        <v>304</v>
      </c>
      <c r="D8" s="256">
        <v>40095348.88</v>
      </c>
      <c r="E8" s="256">
        <v>161837077.43</v>
      </c>
      <c r="F8" s="256">
        <v>140137446.05</v>
      </c>
      <c r="G8" s="236" t="s">
        <v>304</v>
      </c>
      <c r="H8" s="258">
        <v>0.0038</v>
      </c>
      <c r="I8" s="258">
        <v>0.0434</v>
      </c>
      <c r="J8" s="258">
        <v>-0.0048</v>
      </c>
      <c r="K8" s="272"/>
    </row>
    <row r="9" spans="1:11" s="253" customFormat="1" ht="38.25">
      <c r="A9" s="255" t="s">
        <v>314</v>
      </c>
      <c r="B9" s="255" t="s">
        <v>326</v>
      </c>
      <c r="C9" s="256">
        <v>879258319.0211799</v>
      </c>
      <c r="D9" s="256">
        <v>1933608417.8426073</v>
      </c>
      <c r="E9" s="256">
        <v>1938156391.04</v>
      </c>
      <c r="F9" s="256">
        <v>1578978533.45</v>
      </c>
      <c r="G9" s="258">
        <v>0.4683</v>
      </c>
      <c r="H9" s="258">
        <v>0.2568</v>
      </c>
      <c r="I9" s="258">
        <v>0.2556</v>
      </c>
      <c r="J9" s="258">
        <v>-0.04783645000000003</v>
      </c>
      <c r="K9" s="272"/>
    </row>
    <row r="10" spans="1:11" s="253" customFormat="1" ht="25.5">
      <c r="A10" s="259" t="s">
        <v>315</v>
      </c>
      <c r="B10" s="255" t="s">
        <v>327</v>
      </c>
      <c r="C10" s="237" t="s">
        <v>304</v>
      </c>
      <c r="D10" s="256">
        <v>21816015.540000007</v>
      </c>
      <c r="E10" s="256">
        <v>195501134.16133496</v>
      </c>
      <c r="F10" s="256">
        <v>187504209.67526102</v>
      </c>
      <c r="G10" s="236" t="s">
        <v>304</v>
      </c>
      <c r="H10" s="258">
        <v>0.0641</v>
      </c>
      <c r="I10" s="258">
        <v>0.1829</v>
      </c>
      <c r="J10" s="258">
        <v>-0.046797120000000025</v>
      </c>
      <c r="K10" s="272"/>
    </row>
    <row r="11" spans="1:11" s="253" customFormat="1" ht="25.5">
      <c r="A11" s="255" t="s">
        <v>310</v>
      </c>
      <c r="B11" s="255" t="s">
        <v>328</v>
      </c>
      <c r="C11" s="237" t="s">
        <v>304</v>
      </c>
      <c r="D11" s="257">
        <v>11106775</v>
      </c>
      <c r="E11" s="256">
        <v>30514900.520214003</v>
      </c>
      <c r="F11" s="256">
        <v>28528672.518433336</v>
      </c>
      <c r="G11" s="236" t="s">
        <v>304</v>
      </c>
      <c r="H11" s="236">
        <v>0.0523</v>
      </c>
      <c r="I11" s="258">
        <v>0.1349</v>
      </c>
      <c r="J11" s="258">
        <v>-0.0675</v>
      </c>
      <c r="K11" s="272"/>
    </row>
    <row r="12" spans="1:11" s="253" customFormat="1" ht="38.25">
      <c r="A12" s="259" t="s">
        <v>306</v>
      </c>
      <c r="B12" s="260" t="s">
        <v>371</v>
      </c>
      <c r="C12" s="261">
        <v>84452894.15152705</v>
      </c>
      <c r="D12" s="262">
        <v>76427212.46985912</v>
      </c>
      <c r="E12" s="256">
        <v>51447740.805</v>
      </c>
      <c r="F12" s="256">
        <v>48985818.57660521</v>
      </c>
      <c r="G12" s="236">
        <v>0.0549</v>
      </c>
      <c r="H12" s="258">
        <v>0.0703</v>
      </c>
      <c r="I12" s="258">
        <v>0.0752</v>
      </c>
      <c r="J12" s="258">
        <v>-0.0307</v>
      </c>
      <c r="K12" s="272"/>
    </row>
    <row r="13" spans="1:11" s="253" customFormat="1" ht="38.25">
      <c r="A13" s="255" t="s">
        <v>423</v>
      </c>
      <c r="B13" s="255" t="s">
        <v>0</v>
      </c>
      <c r="C13" s="256">
        <v>333537188.743754</v>
      </c>
      <c r="D13" s="256">
        <v>739591750.3337004</v>
      </c>
      <c r="E13" s="256">
        <v>392871773.13633513</v>
      </c>
      <c r="F13" s="256">
        <v>233001102.3341804</v>
      </c>
      <c r="G13" s="258">
        <v>0.1051</v>
      </c>
      <c r="H13" s="258">
        <v>0.1575</v>
      </c>
      <c r="I13" s="263">
        <v>-0.1412</v>
      </c>
      <c r="J13" s="236" t="s">
        <v>304</v>
      </c>
      <c r="K13" s="272"/>
    </row>
    <row r="14" spans="1:11" s="253" customFormat="1" ht="25.5">
      <c r="A14" s="259" t="s">
        <v>316</v>
      </c>
      <c r="B14" s="255" t="s">
        <v>329</v>
      </c>
      <c r="C14" s="256">
        <v>58216767.5</v>
      </c>
      <c r="D14" s="256">
        <v>75337160.27</v>
      </c>
      <c r="E14" s="256">
        <v>91841169.49</v>
      </c>
      <c r="F14" s="256">
        <v>90668348</v>
      </c>
      <c r="G14" s="236">
        <v>-0.0097</v>
      </c>
      <c r="H14" s="258">
        <v>0.0892</v>
      </c>
      <c r="I14" s="258">
        <v>0.1486</v>
      </c>
      <c r="J14" s="258">
        <v>-0.0192</v>
      </c>
      <c r="K14" s="272"/>
    </row>
    <row r="15" spans="1:11" s="253" customFormat="1" ht="38.25">
      <c r="A15" s="254" t="s">
        <v>312</v>
      </c>
      <c r="B15" s="255" t="s">
        <v>330</v>
      </c>
      <c r="C15" s="256">
        <v>68910928.14</v>
      </c>
      <c r="D15" s="256">
        <v>64957033.35</v>
      </c>
      <c r="E15" s="256">
        <v>27707082.87</v>
      </c>
      <c r="F15" s="256">
        <v>16917850.8</v>
      </c>
      <c r="G15" s="258">
        <v>0.053</v>
      </c>
      <c r="H15" s="258">
        <v>0.0636</v>
      </c>
      <c r="I15" s="258">
        <v>0.0395</v>
      </c>
      <c r="J15" s="258">
        <v>-0.0453</v>
      </c>
      <c r="K15" s="272"/>
    </row>
    <row r="16" spans="1:11" s="253" customFormat="1" ht="25.5">
      <c r="A16" s="259" t="s">
        <v>307</v>
      </c>
      <c r="B16" s="255" t="s">
        <v>331</v>
      </c>
      <c r="C16" s="261">
        <v>27452380.355791315</v>
      </c>
      <c r="D16" s="262">
        <v>22835331.201798312</v>
      </c>
      <c r="E16" s="256">
        <v>23250525.57</v>
      </c>
      <c r="F16" s="256">
        <v>22634491.52</v>
      </c>
      <c r="G16" s="236">
        <v>0.0612</v>
      </c>
      <c r="H16" s="258">
        <v>0.0784</v>
      </c>
      <c r="I16" s="264">
        <v>0.0844</v>
      </c>
      <c r="J16" s="258">
        <v>-0.0722</v>
      </c>
      <c r="K16" s="272"/>
    </row>
    <row r="17" spans="1:11" s="253" customFormat="1" ht="25.5">
      <c r="A17" s="265" t="s">
        <v>311</v>
      </c>
      <c r="B17" s="255" t="s">
        <v>424</v>
      </c>
      <c r="C17" s="256">
        <v>154382681.06</v>
      </c>
      <c r="D17" s="256">
        <v>154891669.22</v>
      </c>
      <c r="E17" s="256">
        <v>149400071.9</v>
      </c>
      <c r="F17" s="256">
        <v>137708520.84</v>
      </c>
      <c r="G17" s="258">
        <v>0.045</v>
      </c>
      <c r="H17" s="258">
        <v>0.0603</v>
      </c>
      <c r="I17" s="258">
        <v>0.0314</v>
      </c>
      <c r="J17" s="258">
        <v>-0.0424</v>
      </c>
      <c r="K17" s="272"/>
    </row>
    <row r="18" spans="1:11" s="253" customFormat="1" ht="14.25">
      <c r="A18" s="255" t="s">
        <v>425</v>
      </c>
      <c r="B18" s="255" t="s">
        <v>332</v>
      </c>
      <c r="C18" s="237">
        <v>185523809</v>
      </c>
      <c r="D18" s="237" t="s">
        <v>304</v>
      </c>
      <c r="E18" s="237" t="s">
        <v>304</v>
      </c>
      <c r="F18" s="237" t="s">
        <v>304</v>
      </c>
      <c r="G18" s="236">
        <v>0.0529</v>
      </c>
      <c r="H18" s="236" t="s">
        <v>304</v>
      </c>
      <c r="I18" s="236" t="s">
        <v>304</v>
      </c>
      <c r="J18" s="236" t="s">
        <v>304</v>
      </c>
      <c r="K18" s="272"/>
    </row>
    <row r="19" spans="1:11" s="253" customFormat="1" ht="38.25">
      <c r="A19" s="259" t="s">
        <v>320</v>
      </c>
      <c r="B19" s="255" t="s">
        <v>1</v>
      </c>
      <c r="C19" s="266">
        <v>19203779.31</v>
      </c>
      <c r="D19" s="257">
        <v>19364880.73</v>
      </c>
      <c r="E19" s="256">
        <v>2928510.772114606</v>
      </c>
      <c r="F19" s="256">
        <v>1156293.753726813</v>
      </c>
      <c r="G19" s="236">
        <v>0.1036</v>
      </c>
      <c r="H19" s="258">
        <v>0.1269</v>
      </c>
      <c r="I19" s="258">
        <v>0.0057863200000001225</v>
      </c>
      <c r="J19" s="258">
        <v>-0.1712</v>
      </c>
      <c r="K19" s="272"/>
    </row>
    <row r="20" spans="1:11" s="253" customFormat="1" ht="38.25">
      <c r="A20" s="259" t="s">
        <v>308</v>
      </c>
      <c r="B20" s="255" t="s">
        <v>371</v>
      </c>
      <c r="C20" s="237">
        <v>12647167.44105547</v>
      </c>
      <c r="D20" s="256">
        <v>9655339.75</v>
      </c>
      <c r="E20" s="256">
        <v>9744707.986</v>
      </c>
      <c r="F20" s="256">
        <v>9655225.228</v>
      </c>
      <c r="G20" s="236">
        <v>0.0478</v>
      </c>
      <c r="H20" s="258">
        <v>0.0696</v>
      </c>
      <c r="I20" s="258">
        <v>0.0737</v>
      </c>
      <c r="J20" s="258">
        <v>-0.0151</v>
      </c>
      <c r="K20" s="272"/>
    </row>
    <row r="21" spans="1:11" s="253" customFormat="1" ht="25.5">
      <c r="A21" s="259" t="s">
        <v>309</v>
      </c>
      <c r="B21" s="255" t="s">
        <v>333</v>
      </c>
      <c r="C21" s="237">
        <v>3305267.9841046594</v>
      </c>
      <c r="D21" s="256">
        <v>2459782.72</v>
      </c>
      <c r="E21" s="256">
        <v>2933005.692</v>
      </c>
      <c r="F21" s="256">
        <v>2972730.3219999997</v>
      </c>
      <c r="G21" s="236">
        <v>0.0558</v>
      </c>
      <c r="H21" s="258">
        <v>0.0864</v>
      </c>
      <c r="I21" s="258">
        <v>0.0928</v>
      </c>
      <c r="J21" s="258">
        <v>-0.0421</v>
      </c>
      <c r="K21" s="272"/>
    </row>
    <row r="22" spans="1:11" s="253" customFormat="1" ht="51">
      <c r="A22" s="255" t="s">
        <v>364</v>
      </c>
      <c r="B22" s="255" t="s">
        <v>2</v>
      </c>
      <c r="C22" s="256">
        <v>46012701.76191435</v>
      </c>
      <c r="D22" s="256">
        <v>101790795.97229353</v>
      </c>
      <c r="E22" s="256">
        <v>275150667.57</v>
      </c>
      <c r="F22" s="256">
        <v>231493802.73</v>
      </c>
      <c r="G22" s="258">
        <v>0.0413</v>
      </c>
      <c r="H22" s="258">
        <v>0.256</v>
      </c>
      <c r="I22" s="258">
        <v>0.021</v>
      </c>
      <c r="J22" s="258">
        <v>-0.029946899999999887</v>
      </c>
      <c r="K22" s="272"/>
    </row>
    <row r="23" spans="1:11" s="253" customFormat="1" ht="25.5">
      <c r="A23" s="259" t="s">
        <v>426</v>
      </c>
      <c r="B23" s="255" t="s">
        <v>334</v>
      </c>
      <c r="C23" s="237" t="s">
        <v>304</v>
      </c>
      <c r="D23" s="256">
        <v>6597056.68</v>
      </c>
      <c r="E23" s="256">
        <v>16750985.78</v>
      </c>
      <c r="F23" s="256">
        <v>7112295.57</v>
      </c>
      <c r="G23" s="236" t="s">
        <v>304</v>
      </c>
      <c r="H23" s="258">
        <v>0.1856</v>
      </c>
      <c r="I23" s="258">
        <v>-0.1802</v>
      </c>
      <c r="J23" s="258">
        <v>-0.532</v>
      </c>
      <c r="K23" s="272"/>
    </row>
    <row r="24" spans="1:11" s="253" customFormat="1" ht="38.25">
      <c r="A24" s="259" t="s">
        <v>323</v>
      </c>
      <c r="B24" s="255" t="s">
        <v>3</v>
      </c>
      <c r="C24" s="237" t="s">
        <v>304</v>
      </c>
      <c r="D24" s="256">
        <v>7148239.67</v>
      </c>
      <c r="E24" s="256">
        <v>7018437.17</v>
      </c>
      <c r="F24" s="237" t="s">
        <v>304</v>
      </c>
      <c r="G24" s="236" t="s">
        <v>304</v>
      </c>
      <c r="H24" s="258">
        <v>0.0009</v>
      </c>
      <c r="I24" s="236">
        <v>-0.299</v>
      </c>
      <c r="J24" s="236" t="s">
        <v>304</v>
      </c>
      <c r="K24" s="272"/>
    </row>
    <row r="25" spans="1:11" s="253" customFormat="1" ht="25.5">
      <c r="A25" s="259" t="s">
        <v>427</v>
      </c>
      <c r="B25" s="255" t="s">
        <v>337</v>
      </c>
      <c r="C25" s="237" t="s">
        <v>304</v>
      </c>
      <c r="D25" s="256">
        <v>330225.6</v>
      </c>
      <c r="E25" s="256">
        <v>7630265.75</v>
      </c>
      <c r="F25" s="256">
        <v>8487176.12</v>
      </c>
      <c r="G25" s="236" t="s">
        <v>304</v>
      </c>
      <c r="H25" s="258">
        <v>0.1757</v>
      </c>
      <c r="I25" s="258">
        <v>0.1278</v>
      </c>
      <c r="J25" s="258">
        <v>-0.07769999999999999</v>
      </c>
      <c r="K25" s="272"/>
    </row>
    <row r="26" spans="1:11" s="253" customFormat="1" ht="38.25">
      <c r="A26" s="259" t="s">
        <v>428</v>
      </c>
      <c r="B26" s="255" t="s">
        <v>338</v>
      </c>
      <c r="C26" s="237" t="s">
        <v>304</v>
      </c>
      <c r="D26" s="256">
        <v>5067214.85</v>
      </c>
      <c r="E26" s="256">
        <v>13318179.64</v>
      </c>
      <c r="F26" s="256">
        <v>14413147.7</v>
      </c>
      <c r="G26" s="236" t="s">
        <v>304</v>
      </c>
      <c r="H26" s="258">
        <v>-0.0164</v>
      </c>
      <c r="I26" s="258">
        <v>0.0719</v>
      </c>
      <c r="J26" s="258">
        <v>0.026000000000000002</v>
      </c>
      <c r="K26" s="272"/>
    </row>
    <row r="27" spans="1:11" s="253" customFormat="1" ht="25.5">
      <c r="A27" s="259" t="s">
        <v>429</v>
      </c>
      <c r="B27" s="232" t="s">
        <v>335</v>
      </c>
      <c r="C27" s="237" t="s">
        <v>304</v>
      </c>
      <c r="D27" s="256">
        <v>407092.17</v>
      </c>
      <c r="E27" s="256">
        <v>679745.22</v>
      </c>
      <c r="F27" s="256">
        <v>657739.42</v>
      </c>
      <c r="G27" s="236" t="s">
        <v>304</v>
      </c>
      <c r="H27" s="258">
        <v>-0.0031</v>
      </c>
      <c r="I27" s="258">
        <v>-0.037</v>
      </c>
      <c r="J27" s="236" t="s">
        <v>304</v>
      </c>
      <c r="K27" s="272"/>
    </row>
    <row r="28" spans="1:11" s="253" customFormat="1" ht="38.25">
      <c r="A28" s="259" t="s">
        <v>430</v>
      </c>
      <c r="B28" s="232" t="s">
        <v>339</v>
      </c>
      <c r="C28" s="237">
        <v>1547445.98</v>
      </c>
      <c r="D28" s="256">
        <v>37833183.57</v>
      </c>
      <c r="E28" s="256">
        <v>15188518.87</v>
      </c>
      <c r="F28" s="256">
        <v>6086133.18</v>
      </c>
      <c r="G28" s="236">
        <v>0.1079</v>
      </c>
      <c r="H28" s="258">
        <v>0.0818</v>
      </c>
      <c r="I28" s="258">
        <v>-0.0452</v>
      </c>
      <c r="J28" s="258">
        <v>-0.1948</v>
      </c>
      <c r="K28" s="272"/>
    </row>
    <row r="29" spans="1:11" s="253" customFormat="1" ht="38.25">
      <c r="A29" s="259" t="s">
        <v>431</v>
      </c>
      <c r="B29" s="232" t="s">
        <v>340</v>
      </c>
      <c r="C29" s="237" t="s">
        <v>304</v>
      </c>
      <c r="D29" s="237" t="s">
        <v>304</v>
      </c>
      <c r="E29" s="256">
        <v>1823646.18</v>
      </c>
      <c r="F29" s="256">
        <v>2108011.91</v>
      </c>
      <c r="G29" s="236">
        <v>0.1831</v>
      </c>
      <c r="H29" s="258">
        <v>0.0082</v>
      </c>
      <c r="I29" s="258">
        <v>-0.1791</v>
      </c>
      <c r="J29" s="258">
        <v>0.0248</v>
      </c>
      <c r="K29" s="272"/>
    </row>
    <row r="30" spans="1:11" s="253" customFormat="1" ht="38.25">
      <c r="A30" s="259" t="s">
        <v>432</v>
      </c>
      <c r="B30" s="232" t="s">
        <v>341</v>
      </c>
      <c r="C30" s="237" t="s">
        <v>304</v>
      </c>
      <c r="D30" s="256">
        <v>9595551.98</v>
      </c>
      <c r="E30" s="256">
        <v>23728724.31</v>
      </c>
      <c r="F30" s="256">
        <v>22262419.07</v>
      </c>
      <c r="G30" s="236">
        <v>0.0925</v>
      </c>
      <c r="H30" s="258">
        <v>0.1327</v>
      </c>
      <c r="I30" s="258">
        <v>0.0688</v>
      </c>
      <c r="J30" s="258">
        <v>-0.0296</v>
      </c>
      <c r="K30" s="272"/>
    </row>
    <row r="31" spans="1:11" s="253" customFormat="1" ht="38.25">
      <c r="A31" s="259" t="s">
        <v>433</v>
      </c>
      <c r="B31" s="232" t="s">
        <v>342</v>
      </c>
      <c r="C31" s="237" t="s">
        <v>304</v>
      </c>
      <c r="D31" s="256">
        <v>3465866.38</v>
      </c>
      <c r="E31" s="256">
        <v>6286118.24</v>
      </c>
      <c r="F31" s="256">
        <v>4828219.12</v>
      </c>
      <c r="G31" s="236">
        <v>0.1741</v>
      </c>
      <c r="H31" s="258">
        <v>0.1608</v>
      </c>
      <c r="I31" s="258">
        <v>0.1224</v>
      </c>
      <c r="J31" s="258">
        <v>-0.0525</v>
      </c>
      <c r="K31" s="272"/>
    </row>
    <row r="32" spans="1:11" s="253" customFormat="1" ht="38.25">
      <c r="A32" s="259" t="s">
        <v>434</v>
      </c>
      <c r="B32" s="232" t="s">
        <v>343</v>
      </c>
      <c r="C32" s="237" t="s">
        <v>304</v>
      </c>
      <c r="D32" s="256">
        <v>10116.61</v>
      </c>
      <c r="E32" s="256">
        <v>131384.73</v>
      </c>
      <c r="F32" s="256">
        <v>130270.44</v>
      </c>
      <c r="G32" s="236">
        <v>0.1361</v>
      </c>
      <c r="H32" s="258">
        <v>0.0157</v>
      </c>
      <c r="I32" s="258">
        <v>0.1975</v>
      </c>
      <c r="J32" s="258">
        <v>-0.0065</v>
      </c>
      <c r="K32" s="272"/>
    </row>
    <row r="33" spans="1:11" s="253" customFormat="1" ht="38.25">
      <c r="A33" s="259" t="s">
        <v>435</v>
      </c>
      <c r="B33" s="232" t="s">
        <v>343</v>
      </c>
      <c r="C33" s="237" t="s">
        <v>304</v>
      </c>
      <c r="D33" s="256">
        <v>2545070.05</v>
      </c>
      <c r="E33" s="256">
        <v>4129772.59</v>
      </c>
      <c r="F33" s="256">
        <v>2527231.28</v>
      </c>
      <c r="G33" s="236">
        <v>0.1452</v>
      </c>
      <c r="H33" s="258">
        <v>0.1122</v>
      </c>
      <c r="I33" s="258">
        <v>0.0676</v>
      </c>
      <c r="J33" s="258">
        <v>-0.021099999999999997</v>
      </c>
      <c r="K33" s="272"/>
    </row>
    <row r="34" spans="1:11" s="253" customFormat="1" ht="25.5">
      <c r="A34" s="259" t="s">
        <v>436</v>
      </c>
      <c r="B34" s="232" t="s">
        <v>344</v>
      </c>
      <c r="C34" s="237" t="s">
        <v>304</v>
      </c>
      <c r="D34" s="256">
        <v>2944306.23</v>
      </c>
      <c r="E34" s="256">
        <v>3657074.76</v>
      </c>
      <c r="F34" s="256">
        <v>3576526.37</v>
      </c>
      <c r="G34" s="236">
        <v>0.0389</v>
      </c>
      <c r="H34" s="258">
        <v>-0.033</v>
      </c>
      <c r="I34" s="258">
        <v>0.1656</v>
      </c>
      <c r="J34" s="258">
        <v>-0.08529999999999999</v>
      </c>
      <c r="K34" s="272"/>
    </row>
    <row r="35" spans="1:11" s="253" customFormat="1" ht="38.25">
      <c r="A35" s="259" t="s">
        <v>324</v>
      </c>
      <c r="B35" s="267" t="s">
        <v>345</v>
      </c>
      <c r="C35" s="237" t="s">
        <v>304</v>
      </c>
      <c r="D35" s="256">
        <v>125560.52</v>
      </c>
      <c r="E35" s="237" t="s">
        <v>304</v>
      </c>
      <c r="F35" s="237" t="s">
        <v>304</v>
      </c>
      <c r="G35" s="236" t="s">
        <v>304</v>
      </c>
      <c r="H35" s="258">
        <v>-0.1356</v>
      </c>
      <c r="I35" s="236" t="s">
        <v>304</v>
      </c>
      <c r="J35" s="236" t="s">
        <v>304</v>
      </c>
      <c r="K35" s="272"/>
    </row>
    <row r="36" spans="1:11" s="253" customFormat="1" ht="25.5">
      <c r="A36" s="259" t="s">
        <v>437</v>
      </c>
      <c r="B36" s="232" t="s">
        <v>346</v>
      </c>
      <c r="C36" s="237" t="s">
        <v>304</v>
      </c>
      <c r="D36" s="256">
        <v>3922131.63</v>
      </c>
      <c r="E36" s="256">
        <v>10078492.45</v>
      </c>
      <c r="F36" s="256">
        <v>8877640.29</v>
      </c>
      <c r="G36" s="236" t="s">
        <v>304</v>
      </c>
      <c r="H36" s="258">
        <v>0.2889</v>
      </c>
      <c r="I36" s="258">
        <v>-0.007</v>
      </c>
      <c r="J36" s="258">
        <v>-0.11779999999999999</v>
      </c>
      <c r="K36" s="272"/>
    </row>
    <row r="37" spans="1:11" s="253" customFormat="1" ht="35.25" customHeight="1">
      <c r="A37" s="259" t="s">
        <v>438</v>
      </c>
      <c r="B37" s="267" t="s">
        <v>347</v>
      </c>
      <c r="C37" s="237" t="s">
        <v>304</v>
      </c>
      <c r="D37" s="256">
        <v>13610520.3</v>
      </c>
      <c r="E37" s="256">
        <v>35111426.64</v>
      </c>
      <c r="F37" s="256">
        <v>32299992.85</v>
      </c>
      <c r="G37" s="236" t="s">
        <v>304</v>
      </c>
      <c r="H37" s="258">
        <v>0.1937</v>
      </c>
      <c r="I37" s="258">
        <v>0.108</v>
      </c>
      <c r="J37" s="258">
        <v>-0.0443</v>
      </c>
      <c r="K37" s="272"/>
    </row>
    <row r="38" spans="1:11" s="253" customFormat="1" ht="25.5">
      <c r="A38" s="259" t="s">
        <v>439</v>
      </c>
      <c r="B38" s="232" t="s">
        <v>335</v>
      </c>
      <c r="C38" s="237" t="s">
        <v>304</v>
      </c>
      <c r="D38" s="256">
        <v>29267691.64</v>
      </c>
      <c r="E38" s="256">
        <v>45379132.32</v>
      </c>
      <c r="F38" s="256">
        <v>43532997.26</v>
      </c>
      <c r="G38" s="236" t="s">
        <v>304</v>
      </c>
      <c r="H38" s="236" t="s">
        <v>304</v>
      </c>
      <c r="I38" s="258">
        <v>0.0131</v>
      </c>
      <c r="J38" s="236" t="s">
        <v>304</v>
      </c>
      <c r="K38" s="272"/>
    </row>
    <row r="39" spans="1:11" s="253" customFormat="1" ht="25.5">
      <c r="A39" s="259" t="s">
        <v>440</v>
      </c>
      <c r="B39" s="232" t="s">
        <v>335</v>
      </c>
      <c r="C39" s="237" t="s">
        <v>304</v>
      </c>
      <c r="D39" s="256">
        <v>4981219.67</v>
      </c>
      <c r="E39" s="256">
        <v>6138945.3</v>
      </c>
      <c r="F39" s="256">
        <v>5930244.4</v>
      </c>
      <c r="G39" s="236" t="s">
        <v>304</v>
      </c>
      <c r="H39" s="258">
        <v>0.0337</v>
      </c>
      <c r="I39" s="258">
        <v>0.0249</v>
      </c>
      <c r="J39" s="236" t="s">
        <v>304</v>
      </c>
      <c r="K39" s="272"/>
    </row>
    <row r="40" spans="1:11" s="253" customFormat="1" ht="38.25">
      <c r="A40" s="259" t="s">
        <v>441</v>
      </c>
      <c r="B40" s="232" t="s">
        <v>348</v>
      </c>
      <c r="C40" s="237" t="s">
        <v>304</v>
      </c>
      <c r="D40" s="256">
        <v>2534496.1</v>
      </c>
      <c r="E40" s="256">
        <v>5713802.14</v>
      </c>
      <c r="F40" s="256">
        <v>6728797.45</v>
      </c>
      <c r="G40" s="236" t="s">
        <v>304</v>
      </c>
      <c r="H40" s="258">
        <v>0.0686</v>
      </c>
      <c r="I40" s="258">
        <v>0.2317</v>
      </c>
      <c r="J40" s="258">
        <v>-0.0235</v>
      </c>
      <c r="K40" s="272"/>
    </row>
    <row r="41" spans="1:11" s="253" customFormat="1" ht="38.25">
      <c r="A41" s="259" t="s">
        <v>442</v>
      </c>
      <c r="B41" s="232" t="s">
        <v>349</v>
      </c>
      <c r="C41" s="237" t="s">
        <v>304</v>
      </c>
      <c r="D41" s="256">
        <v>2374792.55</v>
      </c>
      <c r="E41" s="256">
        <v>3163957.4</v>
      </c>
      <c r="F41" s="256">
        <v>2309060.19</v>
      </c>
      <c r="G41" s="236" t="s">
        <v>304</v>
      </c>
      <c r="H41" s="258">
        <v>0.0956</v>
      </c>
      <c r="I41" s="258">
        <v>0.0399</v>
      </c>
      <c r="J41" s="258">
        <v>-0.0141</v>
      </c>
      <c r="K41" s="272"/>
    </row>
    <row r="42" spans="1:11" s="253" customFormat="1" ht="38.25">
      <c r="A42" s="259" t="s">
        <v>443</v>
      </c>
      <c r="B42" s="232" t="s">
        <v>350</v>
      </c>
      <c r="C42" s="237" t="s">
        <v>304</v>
      </c>
      <c r="D42" s="256">
        <v>3229416.41</v>
      </c>
      <c r="E42" s="256">
        <v>3128403.98</v>
      </c>
      <c r="F42" s="256">
        <v>3040631.08</v>
      </c>
      <c r="G42" s="236" t="s">
        <v>304</v>
      </c>
      <c r="H42" s="258">
        <v>-0.0962</v>
      </c>
      <c r="I42" s="258">
        <v>0.1603</v>
      </c>
      <c r="J42" s="258">
        <v>0.0027</v>
      </c>
      <c r="K42" s="272"/>
    </row>
    <row r="43" spans="1:11" s="253" customFormat="1" ht="25.5">
      <c r="A43" s="259" t="s">
        <v>444</v>
      </c>
      <c r="B43" s="232" t="s">
        <v>351</v>
      </c>
      <c r="C43" s="237" t="s">
        <v>304</v>
      </c>
      <c r="D43" s="237" t="s">
        <v>304</v>
      </c>
      <c r="E43" s="256">
        <v>2176422.71</v>
      </c>
      <c r="F43" s="256">
        <v>2280268.34</v>
      </c>
      <c r="G43" s="236" t="s">
        <v>304</v>
      </c>
      <c r="H43" s="236" t="s">
        <v>304</v>
      </c>
      <c r="I43" s="258">
        <v>0.0369</v>
      </c>
      <c r="J43" s="258">
        <v>-0.0002</v>
      </c>
      <c r="K43" s="272"/>
    </row>
    <row r="44" spans="1:11" s="253" customFormat="1" ht="25.5">
      <c r="A44" s="268" t="s">
        <v>445</v>
      </c>
      <c r="B44" s="232" t="s">
        <v>372</v>
      </c>
      <c r="C44" s="237" t="s">
        <v>304</v>
      </c>
      <c r="D44" s="256">
        <v>3026907.52</v>
      </c>
      <c r="E44" s="256">
        <v>22274842.09</v>
      </c>
      <c r="F44" s="256">
        <v>22059699.1</v>
      </c>
      <c r="G44" s="236" t="s">
        <v>304</v>
      </c>
      <c r="H44" s="258">
        <v>0.1468</v>
      </c>
      <c r="I44" s="258">
        <v>-0.0107</v>
      </c>
      <c r="J44" s="258">
        <v>-0.023</v>
      </c>
      <c r="K44" s="272"/>
    </row>
    <row r="45" spans="1:11" s="253" customFormat="1" ht="38.25">
      <c r="A45" s="259" t="s">
        <v>446</v>
      </c>
      <c r="B45" s="232" t="s">
        <v>352</v>
      </c>
      <c r="C45" s="237" t="s">
        <v>304</v>
      </c>
      <c r="D45" s="256">
        <v>12463994.6</v>
      </c>
      <c r="E45" s="256">
        <v>50984607.73</v>
      </c>
      <c r="F45" s="256">
        <v>23149215.57</v>
      </c>
      <c r="G45" s="236" t="s">
        <v>304</v>
      </c>
      <c r="H45" s="258">
        <v>0.2842</v>
      </c>
      <c r="I45" s="258">
        <v>0.1252</v>
      </c>
      <c r="J45" s="258">
        <v>-0.0378</v>
      </c>
      <c r="K45" s="272"/>
    </row>
    <row r="46" spans="1:11" s="253" customFormat="1" ht="38.25">
      <c r="A46" s="259" t="s">
        <v>447</v>
      </c>
      <c r="B46" s="232" t="s">
        <v>353</v>
      </c>
      <c r="C46" s="266" t="s">
        <v>304</v>
      </c>
      <c r="D46" s="266" t="s">
        <v>304</v>
      </c>
      <c r="E46" s="256">
        <v>1857205.67</v>
      </c>
      <c r="F46" s="256">
        <v>1717884.86</v>
      </c>
      <c r="G46" s="236" t="s">
        <v>304</v>
      </c>
      <c r="H46" s="236" t="s">
        <v>304</v>
      </c>
      <c r="I46" s="236">
        <v>-0.1399</v>
      </c>
      <c r="J46" s="258">
        <v>-0.0719</v>
      </c>
      <c r="K46" s="272"/>
    </row>
    <row r="47" spans="1:11" s="253" customFormat="1" ht="38.25">
      <c r="A47" s="259" t="s">
        <v>448</v>
      </c>
      <c r="B47" s="232" t="s">
        <v>354</v>
      </c>
      <c r="C47" s="237" t="s">
        <v>304</v>
      </c>
      <c r="D47" s="256">
        <v>8877235</v>
      </c>
      <c r="E47" s="256">
        <v>7868880.79</v>
      </c>
      <c r="F47" s="256">
        <v>6783654.09</v>
      </c>
      <c r="G47" s="236" t="s">
        <v>304</v>
      </c>
      <c r="H47" s="258">
        <v>0.1335</v>
      </c>
      <c r="I47" s="258">
        <v>-0.0802</v>
      </c>
      <c r="J47" s="258">
        <v>-0.062400000000000004</v>
      </c>
      <c r="K47" s="272"/>
    </row>
    <row r="48" spans="1:11" s="253" customFormat="1" ht="38.25">
      <c r="A48" s="259" t="s">
        <v>449</v>
      </c>
      <c r="B48" s="232" t="s">
        <v>355</v>
      </c>
      <c r="C48" s="237" t="s">
        <v>304</v>
      </c>
      <c r="D48" s="256">
        <v>2303255.29</v>
      </c>
      <c r="E48" s="256">
        <v>4236313.79</v>
      </c>
      <c r="F48" s="256">
        <v>4338508.91</v>
      </c>
      <c r="G48" s="236" t="s">
        <v>304</v>
      </c>
      <c r="H48" s="258">
        <v>0.1193</v>
      </c>
      <c r="I48" s="258">
        <v>0.1859</v>
      </c>
      <c r="J48" s="258">
        <v>0.0259</v>
      </c>
      <c r="K48" s="272"/>
    </row>
    <row r="49" spans="1:11" s="253" customFormat="1" ht="38.25">
      <c r="A49" s="259" t="s">
        <v>450</v>
      </c>
      <c r="B49" s="255" t="s">
        <v>356</v>
      </c>
      <c r="C49" s="237" t="s">
        <v>304</v>
      </c>
      <c r="D49" s="256">
        <v>8789044.08</v>
      </c>
      <c r="E49" s="256">
        <v>34643200.86</v>
      </c>
      <c r="F49" s="256">
        <v>38698434.12</v>
      </c>
      <c r="G49" s="236" t="s">
        <v>304</v>
      </c>
      <c r="H49" s="258">
        <v>0.1345</v>
      </c>
      <c r="I49" s="258">
        <v>0.0914</v>
      </c>
      <c r="J49" s="258">
        <v>-0.0179</v>
      </c>
      <c r="K49" s="272"/>
    </row>
    <row r="50" spans="1:11" s="253" customFormat="1" ht="38.25">
      <c r="A50" s="259" t="s">
        <v>451</v>
      </c>
      <c r="B50" s="255" t="s">
        <v>357</v>
      </c>
      <c r="C50" s="237" t="s">
        <v>304</v>
      </c>
      <c r="D50" s="256">
        <v>580799.15</v>
      </c>
      <c r="E50" s="256">
        <v>1492140.94</v>
      </c>
      <c r="F50" s="256">
        <v>1350656.34</v>
      </c>
      <c r="G50" s="236" t="s">
        <v>304</v>
      </c>
      <c r="H50" s="258">
        <v>0.1317</v>
      </c>
      <c r="I50" s="258">
        <v>0.0766</v>
      </c>
      <c r="J50" s="258">
        <v>-0.0968</v>
      </c>
      <c r="K50" s="272"/>
    </row>
    <row r="51" spans="1:11" s="253" customFormat="1" ht="25.5">
      <c r="A51" s="259" t="s">
        <v>452</v>
      </c>
      <c r="B51" s="255" t="s">
        <v>358</v>
      </c>
      <c r="C51" s="237" t="s">
        <v>304</v>
      </c>
      <c r="D51" s="256">
        <v>1025228.32</v>
      </c>
      <c r="E51" s="256">
        <v>3810426.42</v>
      </c>
      <c r="F51" s="256">
        <v>4035866.56</v>
      </c>
      <c r="G51" s="236" t="s">
        <v>304</v>
      </c>
      <c r="H51" s="258">
        <v>0.0454</v>
      </c>
      <c r="I51" s="258">
        <v>0.2702</v>
      </c>
      <c r="J51" s="258">
        <v>-0.0225</v>
      </c>
      <c r="K51" s="272"/>
    </row>
    <row r="52" spans="1:11" s="253" customFormat="1" ht="25.5">
      <c r="A52" s="259" t="s">
        <v>453</v>
      </c>
      <c r="B52" s="255" t="s">
        <v>359</v>
      </c>
      <c r="C52" s="237" t="s">
        <v>304</v>
      </c>
      <c r="D52" s="237" t="s">
        <v>304</v>
      </c>
      <c r="E52" s="237">
        <v>2862469.8</v>
      </c>
      <c r="F52" s="237" t="s">
        <v>304</v>
      </c>
      <c r="G52" s="236" t="s">
        <v>304</v>
      </c>
      <c r="H52" s="237" t="s">
        <v>304</v>
      </c>
      <c r="I52" s="258">
        <v>-0.0443</v>
      </c>
      <c r="J52" s="237" t="s">
        <v>304</v>
      </c>
      <c r="K52" s="272"/>
    </row>
    <row r="53" spans="1:11" s="253" customFormat="1" ht="38.25">
      <c r="A53" s="259" t="s">
        <v>454</v>
      </c>
      <c r="B53" s="255" t="s">
        <v>360</v>
      </c>
      <c r="C53" s="266" t="s">
        <v>304</v>
      </c>
      <c r="D53" s="266">
        <v>5448849</v>
      </c>
      <c r="E53" s="237">
        <v>22526520.92</v>
      </c>
      <c r="F53" s="237">
        <v>26194284.72</v>
      </c>
      <c r="G53" s="236" t="s">
        <v>304</v>
      </c>
      <c r="H53" s="258">
        <v>0.1391</v>
      </c>
      <c r="I53" s="258">
        <v>0.1674</v>
      </c>
      <c r="J53" s="258">
        <v>-0.0305</v>
      </c>
      <c r="K53" s="272"/>
    </row>
    <row r="54" spans="1:11" s="253" customFormat="1" ht="38.25">
      <c r="A54" s="259" t="s">
        <v>455</v>
      </c>
      <c r="B54" s="255" t="s">
        <v>361</v>
      </c>
      <c r="C54" s="237" t="s">
        <v>304</v>
      </c>
      <c r="D54" s="237" t="s">
        <v>304</v>
      </c>
      <c r="E54" s="237">
        <v>355270.55</v>
      </c>
      <c r="F54" s="237">
        <v>822896.46</v>
      </c>
      <c r="G54" s="236" t="s">
        <v>304</v>
      </c>
      <c r="H54" s="258">
        <v>0.0854</v>
      </c>
      <c r="I54" s="258">
        <v>0.0566</v>
      </c>
      <c r="J54" s="258">
        <v>-0.034300000000000004</v>
      </c>
      <c r="K54" s="272"/>
    </row>
    <row r="55" spans="1:11" s="253" customFormat="1" ht="38.25">
      <c r="A55" s="259" t="s">
        <v>456</v>
      </c>
      <c r="B55" s="255" t="s">
        <v>362</v>
      </c>
      <c r="C55" s="237" t="s">
        <v>304</v>
      </c>
      <c r="D55" s="256">
        <v>2839078.59</v>
      </c>
      <c r="E55" s="256">
        <v>5343446</v>
      </c>
      <c r="F55" s="256">
        <v>6080815.83</v>
      </c>
      <c r="G55" s="236" t="s">
        <v>304</v>
      </c>
      <c r="H55" s="258">
        <v>0.1926</v>
      </c>
      <c r="I55" s="258">
        <v>0.0633</v>
      </c>
      <c r="J55" s="258">
        <v>0.0078</v>
      </c>
      <c r="K55" s="272"/>
    </row>
    <row r="56" spans="1:11" s="253" customFormat="1" ht="25.5">
      <c r="A56" s="259" t="s">
        <v>457</v>
      </c>
      <c r="B56" s="232" t="s">
        <v>363</v>
      </c>
      <c r="C56" s="237" t="s">
        <v>304</v>
      </c>
      <c r="D56" s="237" t="s">
        <v>304</v>
      </c>
      <c r="E56" s="256">
        <v>2689465.99</v>
      </c>
      <c r="F56" s="256">
        <v>7813341.58</v>
      </c>
      <c r="G56" s="236" t="s">
        <v>304</v>
      </c>
      <c r="H56" s="236" t="s">
        <v>304</v>
      </c>
      <c r="I56" s="258">
        <v>0.8043</v>
      </c>
      <c r="J56" s="258">
        <v>-0.0351</v>
      </c>
      <c r="K56" s="272"/>
    </row>
    <row r="57" spans="1:11" s="269" customFormat="1" ht="25.5">
      <c r="A57" s="259" t="s">
        <v>321</v>
      </c>
      <c r="B57" s="260" t="s">
        <v>367</v>
      </c>
      <c r="C57" s="256">
        <v>100278837.19</v>
      </c>
      <c r="D57" s="256">
        <v>64353824.88</v>
      </c>
      <c r="E57" s="256">
        <v>49890114.27</v>
      </c>
      <c r="F57" s="256">
        <v>46571737.61</v>
      </c>
      <c r="G57" s="258">
        <v>0.1405</v>
      </c>
      <c r="H57" s="258">
        <v>0.1134</v>
      </c>
      <c r="I57" s="258">
        <v>0.1508</v>
      </c>
      <c r="J57" s="258">
        <v>-0.0388</v>
      </c>
      <c r="K57" s="273"/>
    </row>
    <row r="58" spans="1:11" s="270" customFormat="1" ht="25.5">
      <c r="A58" s="259" t="s">
        <v>305</v>
      </c>
      <c r="B58" s="260" t="s">
        <v>367</v>
      </c>
      <c r="C58" s="256">
        <v>83437670.31</v>
      </c>
      <c r="D58" s="256">
        <v>80421753.07</v>
      </c>
      <c r="E58" s="256">
        <v>57829805.22</v>
      </c>
      <c r="F58" s="256">
        <v>54918673.29</v>
      </c>
      <c r="G58" s="258">
        <v>0.1516</v>
      </c>
      <c r="H58" s="258">
        <v>0.123</v>
      </c>
      <c r="I58" s="258">
        <v>0.1468</v>
      </c>
      <c r="J58" s="258">
        <v>-0.0434</v>
      </c>
      <c r="K58" s="274"/>
    </row>
    <row r="59" spans="1:11" s="270" customFormat="1" ht="89.25">
      <c r="A59" s="259" t="s">
        <v>317</v>
      </c>
      <c r="B59" s="267" t="s">
        <v>4</v>
      </c>
      <c r="C59" s="257">
        <v>47829399</v>
      </c>
      <c r="D59" s="257">
        <v>73373092</v>
      </c>
      <c r="E59" s="256">
        <v>97380178.97</v>
      </c>
      <c r="F59" s="256">
        <v>89465333.95</v>
      </c>
      <c r="G59" s="258">
        <v>0.139</v>
      </c>
      <c r="H59" s="258">
        <v>0.1517</v>
      </c>
      <c r="I59" s="258">
        <v>0.1112</v>
      </c>
      <c r="J59" s="258">
        <v>-0.03806160999999997</v>
      </c>
      <c r="K59" s="274"/>
    </row>
    <row r="60" spans="1:11" s="270" customFormat="1" ht="63.75">
      <c r="A60" s="259" t="s">
        <v>318</v>
      </c>
      <c r="B60" s="267" t="s">
        <v>368</v>
      </c>
      <c r="C60" s="256">
        <v>175682108.18</v>
      </c>
      <c r="D60" s="256">
        <v>352731598.34</v>
      </c>
      <c r="E60" s="256">
        <v>485930409.8</v>
      </c>
      <c r="F60" s="256">
        <v>484888052.59</v>
      </c>
      <c r="G60" s="258">
        <v>0.1989</v>
      </c>
      <c r="H60" s="258">
        <v>0.1303</v>
      </c>
      <c r="I60" s="258">
        <v>0.1499</v>
      </c>
      <c r="J60" s="258">
        <v>-0.022593309999999978</v>
      </c>
      <c r="K60" s="274"/>
    </row>
    <row r="61" spans="1:11" s="270" customFormat="1" ht="25.5">
      <c r="A61" s="259" t="s">
        <v>319</v>
      </c>
      <c r="B61" s="260" t="s">
        <v>366</v>
      </c>
      <c r="C61" s="256">
        <v>196587624.99</v>
      </c>
      <c r="D61" s="256">
        <v>227467522.34</v>
      </c>
      <c r="E61" s="256">
        <v>235615464.56</v>
      </c>
      <c r="F61" s="256">
        <v>214684930.22</v>
      </c>
      <c r="G61" s="258">
        <v>0.1539</v>
      </c>
      <c r="H61" s="258">
        <v>0.1231</v>
      </c>
      <c r="I61" s="258">
        <v>0.1407</v>
      </c>
      <c r="J61" s="258">
        <v>-0.037439739999999944</v>
      </c>
      <c r="K61" s="274"/>
    </row>
    <row r="62" ht="12.75">
      <c r="J62" s="251"/>
    </row>
    <row r="63" ht="12.75">
      <c r="A63" s="231" t="s">
        <v>369</v>
      </c>
    </row>
    <row r="64" ht="12.75">
      <c r="A64" s="231" t="s">
        <v>416</v>
      </c>
    </row>
    <row r="65" ht="14.25">
      <c r="A65" s="252" t="s">
        <v>458</v>
      </c>
    </row>
    <row r="66" ht="14.25">
      <c r="A66" s="252" t="s">
        <v>459</v>
      </c>
    </row>
    <row r="67" ht="12.75">
      <c r="A67" s="231" t="s">
        <v>460</v>
      </c>
    </row>
    <row r="68" ht="14.25">
      <c r="A68" s="231" t="s">
        <v>461</v>
      </c>
    </row>
    <row r="69" ht="14.25">
      <c r="A69" s="231" t="s">
        <v>462</v>
      </c>
    </row>
    <row r="70" ht="14.25">
      <c r="A70" s="231" t="s">
        <v>463</v>
      </c>
    </row>
    <row r="71" ht="14.25">
      <c r="A71" s="252" t="s">
        <v>464</v>
      </c>
    </row>
  </sheetData>
  <sheetProtection/>
  <printOptions horizontalCentered="1"/>
  <pageMargins left="0.5" right="0.5" top="0.5" bottom="0.5" header="0.25" footer="0.25"/>
  <pageSetup fitToHeight="15" horizontalDpi="600" verticalDpi="600" orientation="landscape" pageOrder="overThenDown" paperSize="5" scale="80" r:id="rId1"/>
  <headerFooter alignWithMargins="0">
    <oddHeader>&amp;C&amp;"Arial,Bold"&amp;12Response to the Financial Crisis Inquiry Commission
April 18, 2010 Letter</oddHeader>
    <oddFooter>&amp;L&amp;"Arial,Bold"&amp;12CONFIDENTIAL TREATMENT REQUESTED BY JPMORGAN&amp;R&amp;"Arial,Bold"&amp;12BSC-FCIC 00000690</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T8"/>
  <sheetViews>
    <sheetView view="pageBreakPreview" zoomScale="60" zoomScalePageLayoutView="0" workbookViewId="0" topLeftCell="A1">
      <selection activeCell="H19" sqref="H19"/>
    </sheetView>
  </sheetViews>
  <sheetFormatPr defaultColWidth="9.140625" defaultRowHeight="12.75" outlineLevelCol="1"/>
  <cols>
    <col min="1" max="2" width="33.7109375" style="1" customWidth="1"/>
    <col min="3" max="3" width="20.7109375" style="1" hidden="1" customWidth="1" outlineLevel="1"/>
    <col min="4" max="4" width="2.7109375" style="1" hidden="1" customWidth="1" outlineLevel="1"/>
    <col min="5" max="5" width="20.7109375" style="1" hidden="1" customWidth="1" outlineLevel="1"/>
    <col min="6" max="6" width="14.7109375" style="1" customWidth="1" collapsed="1"/>
    <col min="7" max="7" width="1.7109375" style="1" customWidth="1"/>
    <col min="8" max="9" width="14.7109375" style="1" customWidth="1"/>
    <col min="10" max="10" width="1.7109375" style="1" customWidth="1"/>
    <col min="11" max="11" width="14.7109375" style="1" customWidth="1"/>
    <col min="12" max="12" width="12.7109375" style="1" customWidth="1"/>
    <col min="13" max="13" width="14.57421875" style="1" customWidth="1"/>
    <col min="14" max="14" width="17.421875" style="1" customWidth="1"/>
    <col min="15" max="17" width="20.7109375" style="1" customWidth="1"/>
    <col min="18" max="18" width="20.7109375" style="1" hidden="1" customWidth="1"/>
    <col min="19" max="20" width="20.7109375" style="1" customWidth="1"/>
    <col min="21" max="21" width="3.28125" style="1" customWidth="1"/>
    <col min="22" max="16384" width="9.140625" style="1" customWidth="1"/>
  </cols>
  <sheetData>
    <row r="1" spans="1:11" s="2" customFormat="1" ht="19.5">
      <c r="A1" s="3" t="s">
        <v>226</v>
      </c>
      <c r="B1" s="3"/>
      <c r="C1" s="3"/>
      <c r="D1" s="3"/>
      <c r="E1" s="3"/>
      <c r="F1" s="3"/>
      <c r="G1" s="3"/>
      <c r="H1" s="3"/>
      <c r="I1" s="3"/>
      <c r="J1" s="3"/>
      <c r="K1" s="3"/>
    </row>
    <row r="2" spans="1:11" s="2" customFormat="1" ht="19.5">
      <c r="A2" s="3" t="s">
        <v>17</v>
      </c>
      <c r="B2" s="3"/>
      <c r="C2" s="3"/>
      <c r="D2" s="3"/>
      <c r="E2" s="3"/>
      <c r="F2" s="3"/>
      <c r="G2" s="3"/>
      <c r="H2" s="3"/>
      <c r="I2" s="3"/>
      <c r="J2" s="3"/>
      <c r="K2" s="3"/>
    </row>
    <row r="3" spans="1:11" s="2" customFormat="1" ht="19.5">
      <c r="A3" s="3"/>
      <c r="B3" s="3"/>
      <c r="C3" s="3"/>
      <c r="D3" s="3"/>
      <c r="E3" s="3"/>
      <c r="F3" s="3"/>
      <c r="G3" s="3"/>
      <c r="H3" s="3"/>
      <c r="I3" s="3"/>
      <c r="J3" s="3"/>
      <c r="K3" s="3"/>
    </row>
    <row r="4" spans="3:11" s="2" customFormat="1" ht="18">
      <c r="C4" s="282" t="s">
        <v>210</v>
      </c>
      <c r="D4" s="282"/>
      <c r="E4" s="282"/>
      <c r="F4" s="287" t="s">
        <v>16</v>
      </c>
      <c r="G4" s="287"/>
      <c r="H4" s="287"/>
      <c r="I4" s="287" t="s">
        <v>250</v>
      </c>
      <c r="J4" s="287"/>
      <c r="K4" s="287"/>
    </row>
    <row r="5" spans="1:20" s="2" customFormat="1" ht="108">
      <c r="A5" s="197" t="s">
        <v>247</v>
      </c>
      <c r="B5" s="72" t="s">
        <v>209</v>
      </c>
      <c r="C5" s="5" t="s">
        <v>164</v>
      </c>
      <c r="D5" s="5"/>
      <c r="E5" s="5" t="s">
        <v>249</v>
      </c>
      <c r="F5" s="5" t="s">
        <v>164</v>
      </c>
      <c r="G5" s="5"/>
      <c r="H5" s="5" t="s">
        <v>249</v>
      </c>
      <c r="I5" s="5" t="s">
        <v>164</v>
      </c>
      <c r="J5" s="5"/>
      <c r="K5" s="5" t="s">
        <v>249</v>
      </c>
      <c r="L5" s="5" t="s">
        <v>51</v>
      </c>
      <c r="M5" s="5" t="s">
        <v>296</v>
      </c>
      <c r="N5" s="5" t="s">
        <v>298</v>
      </c>
      <c r="O5" s="5" t="s">
        <v>43</v>
      </c>
      <c r="P5" s="43" t="s">
        <v>200</v>
      </c>
      <c r="Q5" s="5" t="s">
        <v>46</v>
      </c>
      <c r="R5" s="5" t="s">
        <v>44</v>
      </c>
      <c r="S5" s="5" t="s">
        <v>172</v>
      </c>
      <c r="T5" s="5" t="s">
        <v>225</v>
      </c>
    </row>
    <row r="6" spans="6:8" ht="15">
      <c r="F6" s="135"/>
      <c r="G6" s="135"/>
      <c r="H6" s="135"/>
    </row>
    <row r="7" spans="1:20" s="2" customFormat="1" ht="108">
      <c r="A7" s="138" t="s">
        <v>280</v>
      </c>
      <c r="B7" s="141" t="s">
        <v>36</v>
      </c>
      <c r="C7" s="154">
        <v>78.826</v>
      </c>
      <c r="D7" s="154"/>
      <c r="E7" s="154">
        <v>0.068</v>
      </c>
      <c r="F7" s="159">
        <v>73.402</v>
      </c>
      <c r="G7" s="155"/>
      <c r="H7" s="160">
        <v>0.067</v>
      </c>
      <c r="I7" s="165">
        <f>F7-C7</f>
        <v>-5.423999999999992</v>
      </c>
      <c r="J7" s="139"/>
      <c r="K7" s="166">
        <f>H7-E7</f>
        <v>-0.0010000000000000009</v>
      </c>
      <c r="L7" s="148" t="s">
        <v>161</v>
      </c>
      <c r="M7" s="148"/>
      <c r="N7" s="150"/>
      <c r="O7" s="150"/>
      <c r="P7" s="150"/>
      <c r="Q7" s="150"/>
      <c r="R7" s="148"/>
      <c r="S7" s="147"/>
      <c r="T7" s="157"/>
    </row>
    <row r="8" spans="1:20" s="2" customFormat="1" ht="72">
      <c r="A8" s="137" t="s">
        <v>281</v>
      </c>
      <c r="B8" s="140" t="s">
        <v>277</v>
      </c>
      <c r="C8" s="144">
        <v>231.233</v>
      </c>
      <c r="D8" s="144"/>
      <c r="E8" s="144">
        <v>2.535</v>
      </c>
      <c r="F8" s="145">
        <v>215.322</v>
      </c>
      <c r="G8" s="144"/>
      <c r="H8" s="146">
        <v>2.4</v>
      </c>
      <c r="I8" s="165">
        <f>F8-C8</f>
        <v>-15.911000000000001</v>
      </c>
      <c r="J8" s="139"/>
      <c r="K8" s="166">
        <f>H8-E8</f>
        <v>-0.13500000000000023</v>
      </c>
      <c r="L8" s="150" t="s">
        <v>161</v>
      </c>
      <c r="M8" s="150"/>
      <c r="N8" s="150"/>
      <c r="O8" s="150"/>
      <c r="P8" s="149"/>
      <c r="Q8" s="163"/>
      <c r="R8" s="148"/>
      <c r="S8" s="147"/>
      <c r="T8" s="157"/>
    </row>
  </sheetData>
  <sheetProtection/>
  <mergeCells count="3">
    <mergeCell ref="C4:E4"/>
    <mergeCell ref="F4:H4"/>
    <mergeCell ref="I4:K4"/>
  </mergeCells>
  <printOptions/>
  <pageMargins left="0" right="0" top="0.6" bottom="0.4" header="0.5" footer="0.3"/>
  <pageSetup fitToHeight="1" fitToWidth="1" horizontalDpi="600" verticalDpi="600" orientation="landscape" scale="49" r:id="rId1"/>
</worksheet>
</file>

<file path=xl/worksheets/sheet8.xml><?xml version="1.0" encoding="utf-8"?>
<worksheet xmlns="http://schemas.openxmlformats.org/spreadsheetml/2006/main" xmlns:r="http://schemas.openxmlformats.org/officeDocument/2006/relationships">
  <sheetPr>
    <pageSetUpPr fitToPage="1"/>
  </sheetPr>
  <dimension ref="A1:T10"/>
  <sheetViews>
    <sheetView view="pageBreakPreview" zoomScale="60" zoomScalePageLayoutView="0" workbookViewId="0" topLeftCell="A1">
      <selection activeCell="A7" sqref="A7:IV10"/>
    </sheetView>
  </sheetViews>
  <sheetFormatPr defaultColWidth="9.140625" defaultRowHeight="12.75" outlineLevelCol="1"/>
  <cols>
    <col min="1" max="2" width="33.7109375" style="1" customWidth="1"/>
    <col min="3" max="3" width="20.7109375" style="1" hidden="1" customWidth="1" outlineLevel="1"/>
    <col min="4" max="4" width="2.7109375" style="1" hidden="1" customWidth="1" outlineLevel="1"/>
    <col min="5" max="5" width="20.7109375" style="1" hidden="1" customWidth="1" outlineLevel="1"/>
    <col min="6" max="6" width="14.7109375" style="1" customWidth="1" collapsed="1"/>
    <col min="7" max="7" width="1.7109375" style="1" customWidth="1"/>
    <col min="8" max="9" width="14.7109375" style="1" customWidth="1"/>
    <col min="10" max="10" width="1.7109375" style="1" customWidth="1"/>
    <col min="11" max="11" width="14.7109375" style="1" customWidth="1"/>
    <col min="12" max="13" width="12.7109375" style="1" customWidth="1"/>
    <col min="14" max="14" width="18.8515625" style="1" customWidth="1"/>
    <col min="15" max="17" width="20.7109375" style="1" customWidth="1"/>
    <col min="18" max="18" width="20.7109375" style="1" hidden="1" customWidth="1"/>
    <col min="19" max="20" width="20.7109375" style="1" customWidth="1"/>
    <col min="21" max="21" width="3.28125" style="1" customWidth="1"/>
    <col min="22" max="16384" width="9.140625" style="1" customWidth="1"/>
  </cols>
  <sheetData>
    <row r="1" spans="1:11" s="2" customFormat="1" ht="19.5">
      <c r="A1" s="3" t="s">
        <v>246</v>
      </c>
      <c r="B1" s="3"/>
      <c r="C1" s="3"/>
      <c r="D1" s="3"/>
      <c r="E1" s="3"/>
      <c r="F1" s="3"/>
      <c r="G1" s="3"/>
      <c r="H1" s="3"/>
      <c r="I1" s="3"/>
      <c r="J1" s="3"/>
      <c r="K1" s="3"/>
    </row>
    <row r="2" spans="1:11" s="2" customFormat="1" ht="19.5">
      <c r="A2" s="3" t="s">
        <v>17</v>
      </c>
      <c r="B2" s="3"/>
      <c r="C2" s="3"/>
      <c r="D2" s="3"/>
      <c r="E2" s="3"/>
      <c r="F2" s="3"/>
      <c r="G2" s="3"/>
      <c r="H2" s="3"/>
      <c r="I2" s="3"/>
      <c r="J2" s="3"/>
      <c r="K2" s="3"/>
    </row>
    <row r="3" spans="1:11" s="2" customFormat="1" ht="19.5">
      <c r="A3" s="3"/>
      <c r="B3" s="3"/>
      <c r="C3" s="3"/>
      <c r="D3" s="3"/>
      <c r="E3" s="3"/>
      <c r="F3" s="3"/>
      <c r="G3" s="3"/>
      <c r="H3" s="3"/>
      <c r="I3" s="3"/>
      <c r="J3" s="3"/>
      <c r="K3" s="3"/>
    </row>
    <row r="4" spans="3:11" s="2" customFormat="1" ht="18">
      <c r="C4" s="282" t="s">
        <v>210</v>
      </c>
      <c r="D4" s="282"/>
      <c r="E4" s="282"/>
      <c r="F4" s="287" t="s">
        <v>16</v>
      </c>
      <c r="G4" s="287"/>
      <c r="H4" s="287"/>
      <c r="I4" s="287" t="s">
        <v>250</v>
      </c>
      <c r="J4" s="287"/>
      <c r="K4" s="287"/>
    </row>
    <row r="5" spans="1:20" s="2" customFormat="1" ht="108">
      <c r="A5" s="197" t="s">
        <v>119</v>
      </c>
      <c r="B5" s="72" t="s">
        <v>209</v>
      </c>
      <c r="C5" s="5" t="s">
        <v>164</v>
      </c>
      <c r="D5" s="5"/>
      <c r="E5" s="5" t="s">
        <v>249</v>
      </c>
      <c r="F5" s="5" t="s">
        <v>164</v>
      </c>
      <c r="G5" s="5"/>
      <c r="H5" s="5" t="s">
        <v>249</v>
      </c>
      <c r="I5" s="5" t="s">
        <v>164</v>
      </c>
      <c r="J5" s="5"/>
      <c r="K5" s="5" t="s">
        <v>249</v>
      </c>
      <c r="L5" s="5" t="s">
        <v>51</v>
      </c>
      <c r="M5" s="5" t="s">
        <v>296</v>
      </c>
      <c r="N5" s="5" t="s">
        <v>298</v>
      </c>
      <c r="O5" s="5" t="s">
        <v>43</v>
      </c>
      <c r="P5" s="43" t="s">
        <v>200</v>
      </c>
      <c r="Q5" s="5" t="s">
        <v>46</v>
      </c>
      <c r="R5" s="5" t="s">
        <v>44</v>
      </c>
      <c r="S5" s="5" t="s">
        <v>172</v>
      </c>
      <c r="T5" s="5" t="s">
        <v>225</v>
      </c>
    </row>
    <row r="6" spans="6:8" ht="15">
      <c r="F6" s="135"/>
      <c r="G6" s="135"/>
      <c r="H6" s="135"/>
    </row>
    <row r="7" spans="1:20" s="2" customFormat="1" ht="39.75" customHeight="1">
      <c r="A7" s="138" t="s">
        <v>228</v>
      </c>
      <c r="B7" s="288" t="s">
        <v>38</v>
      </c>
      <c r="C7" s="170">
        <v>1194.27</v>
      </c>
      <c r="D7" s="171"/>
      <c r="E7" s="171">
        <v>0</v>
      </c>
      <c r="F7" s="167">
        <v>11.637</v>
      </c>
      <c r="G7" s="204"/>
      <c r="H7" s="167">
        <v>0</v>
      </c>
      <c r="I7" s="207">
        <f>F7-C7</f>
        <v>-1182.633</v>
      </c>
      <c r="J7" s="173"/>
      <c r="K7" s="172">
        <f>H7-E7</f>
        <v>0</v>
      </c>
      <c r="L7" s="148" t="s">
        <v>159</v>
      </c>
      <c r="M7" s="148"/>
      <c r="N7" s="148" t="s">
        <v>299</v>
      </c>
      <c r="O7" s="150"/>
      <c r="P7" s="150"/>
      <c r="Q7" s="150"/>
      <c r="R7" s="148">
        <v>0</v>
      </c>
      <c r="S7" s="161" t="s">
        <v>290</v>
      </c>
      <c r="T7" s="151"/>
    </row>
    <row r="8" spans="1:20" s="2" customFormat="1" ht="39.75" customHeight="1">
      <c r="A8" s="137" t="s">
        <v>229</v>
      </c>
      <c r="B8" s="289"/>
      <c r="C8" s="174">
        <v>193.337</v>
      </c>
      <c r="D8" s="175"/>
      <c r="E8" s="175">
        <v>0</v>
      </c>
      <c r="F8" s="168">
        <v>48.555</v>
      </c>
      <c r="G8" s="205"/>
      <c r="H8" s="168">
        <v>0</v>
      </c>
      <c r="I8" s="208">
        <f>F8-C8</f>
        <v>-144.78199999999998</v>
      </c>
      <c r="J8" s="176"/>
      <c r="K8" s="176">
        <f>H8-E8</f>
        <v>0</v>
      </c>
      <c r="L8" s="150" t="s">
        <v>159</v>
      </c>
      <c r="M8" s="150"/>
      <c r="N8" s="150"/>
      <c r="O8" s="150"/>
      <c r="P8" s="149"/>
      <c r="Q8" s="163"/>
      <c r="R8" s="148">
        <v>0</v>
      </c>
      <c r="S8" s="161" t="s">
        <v>290</v>
      </c>
      <c r="T8" s="151"/>
    </row>
    <row r="9" spans="1:20" s="2" customFormat="1" ht="39.75" customHeight="1">
      <c r="A9" s="137" t="s">
        <v>230</v>
      </c>
      <c r="B9" s="289"/>
      <c r="C9" s="174">
        <v>108.887</v>
      </c>
      <c r="D9" s="175"/>
      <c r="E9" s="175">
        <v>0</v>
      </c>
      <c r="F9" s="168">
        <v>0</v>
      </c>
      <c r="G9" s="205"/>
      <c r="H9" s="168">
        <v>0</v>
      </c>
      <c r="I9" s="208">
        <f>F9-C9</f>
        <v>-108.887</v>
      </c>
      <c r="J9" s="176"/>
      <c r="K9" s="176">
        <f>H9-E9</f>
        <v>0</v>
      </c>
      <c r="L9" s="150" t="s">
        <v>159</v>
      </c>
      <c r="M9" s="150"/>
      <c r="N9" s="150"/>
      <c r="O9" s="150"/>
      <c r="P9" s="149"/>
      <c r="Q9" s="163"/>
      <c r="R9" s="148">
        <v>0</v>
      </c>
      <c r="S9" s="161" t="s">
        <v>290</v>
      </c>
      <c r="T9" s="151"/>
    </row>
    <row r="10" spans="1:20" s="2" customFormat="1" ht="39.75" customHeight="1">
      <c r="A10" s="137" t="s">
        <v>231</v>
      </c>
      <c r="B10" s="290"/>
      <c r="C10" s="177">
        <v>21.412</v>
      </c>
      <c r="D10" s="178"/>
      <c r="E10" s="178">
        <v>0</v>
      </c>
      <c r="F10" s="169">
        <v>0</v>
      </c>
      <c r="G10" s="206"/>
      <c r="H10" s="169">
        <v>0</v>
      </c>
      <c r="I10" s="209">
        <f>F10-C10</f>
        <v>-21.412</v>
      </c>
      <c r="J10" s="179"/>
      <c r="K10" s="179">
        <f>H10-E10</f>
        <v>0</v>
      </c>
      <c r="L10" s="150" t="s">
        <v>159</v>
      </c>
      <c r="M10" s="150"/>
      <c r="N10" s="150"/>
      <c r="O10" s="150"/>
      <c r="P10" s="149"/>
      <c r="Q10" s="163"/>
      <c r="R10" s="148">
        <v>0</v>
      </c>
      <c r="S10" s="161" t="s">
        <v>290</v>
      </c>
      <c r="T10" s="151"/>
    </row>
  </sheetData>
  <sheetProtection/>
  <mergeCells count="4">
    <mergeCell ref="B7:B10"/>
    <mergeCell ref="C4:E4"/>
    <mergeCell ref="F4:H4"/>
    <mergeCell ref="I4:K4"/>
  </mergeCells>
  <printOptions/>
  <pageMargins left="0" right="0" top="0.6" bottom="0.4" header="0.5" footer="0.3"/>
  <pageSetup fitToHeight="1" fitToWidth="1" horizontalDpi="600" verticalDpi="600" orientation="landscape" scale="49" r:id="rId1"/>
</worksheet>
</file>

<file path=xl/worksheets/sheet9.xml><?xml version="1.0" encoding="utf-8"?>
<worksheet xmlns="http://schemas.openxmlformats.org/spreadsheetml/2006/main" xmlns:r="http://schemas.openxmlformats.org/officeDocument/2006/relationships">
  <sheetPr>
    <pageSetUpPr fitToPage="1"/>
  </sheetPr>
  <dimension ref="A1:V8"/>
  <sheetViews>
    <sheetView view="pageBreakPreview" zoomScale="60" zoomScalePageLayoutView="0" workbookViewId="0" topLeftCell="A1">
      <selection activeCell="A7" sqref="A7:IV8"/>
    </sheetView>
  </sheetViews>
  <sheetFormatPr defaultColWidth="9.140625" defaultRowHeight="12.75" outlineLevelCol="1"/>
  <cols>
    <col min="1" max="1" width="33.7109375" style="1" customWidth="1"/>
    <col min="2" max="2" width="36.57421875" style="222" customWidth="1"/>
    <col min="3" max="3" width="20.7109375" style="1" hidden="1" customWidth="1" outlineLevel="1"/>
    <col min="4" max="4" width="2.7109375" style="1" hidden="1" customWidth="1" outlineLevel="1"/>
    <col min="5" max="5" width="20.7109375" style="1" hidden="1" customWidth="1" outlineLevel="1"/>
    <col min="6" max="6" width="14.7109375" style="1" customWidth="1" collapsed="1"/>
    <col min="7" max="7" width="2.7109375" style="1" customWidth="1"/>
    <col min="8" max="9" width="14.7109375" style="1" customWidth="1"/>
    <col min="10" max="10" width="2.7109375" style="1" customWidth="1"/>
    <col min="11" max="11" width="14.7109375" style="1" customWidth="1"/>
    <col min="12" max="12" width="12.7109375" style="1" customWidth="1"/>
    <col min="13" max="13" width="19.28125" style="1" customWidth="1"/>
    <col min="14" max="14" width="22.57421875" style="1" customWidth="1"/>
    <col min="15" max="15" width="37.28125" style="1" customWidth="1"/>
    <col min="16" max="17" width="20.7109375" style="1" customWidth="1"/>
    <col min="18" max="18" width="20.7109375" style="1" hidden="1" customWidth="1"/>
    <col min="19" max="19" width="20.7109375" style="1" customWidth="1"/>
    <col min="20" max="20" width="26.421875" style="1" customWidth="1"/>
    <col min="21" max="21" width="16.7109375" style="1" customWidth="1"/>
    <col min="22" max="22" width="13.421875" style="1" customWidth="1"/>
    <col min="23" max="16384" width="9.140625" style="1" customWidth="1"/>
  </cols>
  <sheetData>
    <row r="1" spans="1:11" s="2" customFormat="1" ht="19.5">
      <c r="A1" s="3" t="s">
        <v>246</v>
      </c>
      <c r="B1" s="220"/>
      <c r="C1" s="3"/>
      <c r="D1" s="3"/>
      <c r="E1" s="3"/>
      <c r="F1" s="3"/>
      <c r="G1" s="3"/>
      <c r="H1" s="3"/>
      <c r="I1" s="3"/>
      <c r="J1" s="3"/>
      <c r="K1" s="3"/>
    </row>
    <row r="2" spans="1:11" s="2" customFormat="1" ht="19.5">
      <c r="A2" s="3" t="s">
        <v>17</v>
      </c>
      <c r="B2" s="220"/>
      <c r="C2" s="3"/>
      <c r="D2" s="3"/>
      <c r="E2" s="3"/>
      <c r="F2" s="3"/>
      <c r="G2" s="3"/>
      <c r="H2" s="3"/>
      <c r="I2" s="3"/>
      <c r="J2" s="3"/>
      <c r="K2" s="3"/>
    </row>
    <row r="3" spans="1:11" s="2" customFormat="1" ht="19.5">
      <c r="A3" s="3"/>
      <c r="B3" s="220"/>
      <c r="C3" s="3"/>
      <c r="D3" s="3"/>
      <c r="E3" s="3"/>
      <c r="F3" s="3"/>
      <c r="G3" s="3"/>
      <c r="H3" s="3"/>
      <c r="I3" s="3"/>
      <c r="J3" s="3"/>
      <c r="K3" s="3"/>
    </row>
    <row r="4" spans="2:11" s="2" customFormat="1" ht="18">
      <c r="B4" s="221"/>
      <c r="C4" s="282" t="s">
        <v>210</v>
      </c>
      <c r="D4" s="282"/>
      <c r="E4" s="282"/>
      <c r="F4" s="287" t="s">
        <v>16</v>
      </c>
      <c r="G4" s="287"/>
      <c r="H4" s="287"/>
      <c r="I4" s="287" t="s">
        <v>250</v>
      </c>
      <c r="J4" s="287"/>
      <c r="K4" s="287"/>
    </row>
    <row r="5" spans="1:22" s="2" customFormat="1" ht="90">
      <c r="A5" s="197" t="s">
        <v>131</v>
      </c>
      <c r="B5" s="72" t="s">
        <v>209</v>
      </c>
      <c r="C5" s="5" t="s">
        <v>164</v>
      </c>
      <c r="D5" s="5"/>
      <c r="E5" s="5" t="s">
        <v>249</v>
      </c>
      <c r="F5" s="5" t="s">
        <v>164</v>
      </c>
      <c r="G5" s="5"/>
      <c r="H5" s="5" t="s">
        <v>249</v>
      </c>
      <c r="I5" s="5" t="s">
        <v>164</v>
      </c>
      <c r="J5" s="5"/>
      <c r="K5" s="5" t="s">
        <v>249</v>
      </c>
      <c r="L5" s="5" t="s">
        <v>51</v>
      </c>
      <c r="M5" s="5" t="s">
        <v>296</v>
      </c>
      <c r="N5" s="5" t="s">
        <v>298</v>
      </c>
      <c r="O5" s="5" t="s">
        <v>43</v>
      </c>
      <c r="P5" s="43" t="s">
        <v>200</v>
      </c>
      <c r="Q5" s="5" t="s">
        <v>46</v>
      </c>
      <c r="R5" s="5" t="s">
        <v>44</v>
      </c>
      <c r="S5" s="5" t="s">
        <v>172</v>
      </c>
      <c r="T5" s="5" t="s">
        <v>225</v>
      </c>
      <c r="U5" s="5" t="s">
        <v>287</v>
      </c>
      <c r="V5" s="5" t="s">
        <v>18</v>
      </c>
    </row>
    <row r="6" spans="6:8" ht="15">
      <c r="F6" s="135"/>
      <c r="G6" s="135"/>
      <c r="H6" s="135"/>
    </row>
    <row r="7" spans="1:22" s="2" customFormat="1" ht="174.75" customHeight="1">
      <c r="A7" s="137" t="s">
        <v>227</v>
      </c>
      <c r="B7" s="293" t="s">
        <v>26</v>
      </c>
      <c r="C7" s="183">
        <v>315.498</v>
      </c>
      <c r="D7" s="183"/>
      <c r="E7" s="183">
        <v>15.668</v>
      </c>
      <c r="F7" s="210">
        <v>254.557</v>
      </c>
      <c r="G7" s="199"/>
      <c r="H7" s="199">
        <v>15.359</v>
      </c>
      <c r="I7" s="211">
        <f>F7-C7</f>
        <v>-60.941</v>
      </c>
      <c r="J7" s="149"/>
      <c r="K7" s="199">
        <f>H7-E7</f>
        <v>-0.3089999999999993</v>
      </c>
      <c r="L7" s="148" t="s">
        <v>160</v>
      </c>
      <c r="M7" s="162">
        <v>39752</v>
      </c>
      <c r="N7" s="293" t="s">
        <v>300</v>
      </c>
      <c r="O7" s="148" t="s">
        <v>5</v>
      </c>
      <c r="P7" s="150"/>
      <c r="Q7" s="150"/>
      <c r="R7" s="148">
        <v>15.6</v>
      </c>
      <c r="S7" s="161" t="s">
        <v>290</v>
      </c>
      <c r="T7" s="148" t="s">
        <v>288</v>
      </c>
      <c r="U7" s="293" t="s">
        <v>6</v>
      </c>
      <c r="V7" s="291" t="s">
        <v>292</v>
      </c>
    </row>
    <row r="8" spans="1:22" s="2" customFormat="1" ht="174.75" customHeight="1">
      <c r="A8" s="137" t="s">
        <v>232</v>
      </c>
      <c r="B8" s="294"/>
      <c r="C8" s="184">
        <v>17.106</v>
      </c>
      <c r="D8" s="184"/>
      <c r="E8" s="184">
        <v>5.8</v>
      </c>
      <c r="F8" s="198">
        <v>10.234</v>
      </c>
      <c r="G8" s="200"/>
      <c r="H8" s="200">
        <v>5.241</v>
      </c>
      <c r="I8" s="198">
        <f>F8-C8</f>
        <v>-6.872000000000002</v>
      </c>
      <c r="J8" s="200"/>
      <c r="K8" s="200">
        <f>H8-E8</f>
        <v>-0.5590000000000002</v>
      </c>
      <c r="L8" s="150" t="s">
        <v>160</v>
      </c>
      <c r="M8" s="162">
        <v>39752</v>
      </c>
      <c r="N8" s="294"/>
      <c r="O8" s="148" t="s">
        <v>5</v>
      </c>
      <c r="P8" s="149"/>
      <c r="Q8" s="163"/>
      <c r="R8" s="148">
        <v>5.5</v>
      </c>
      <c r="S8" s="147" t="s">
        <v>290</v>
      </c>
      <c r="T8" s="148" t="s">
        <v>288</v>
      </c>
      <c r="U8" s="295"/>
      <c r="V8" s="292"/>
    </row>
  </sheetData>
  <sheetProtection/>
  <mergeCells count="7">
    <mergeCell ref="V7:V8"/>
    <mergeCell ref="B7:B8"/>
    <mergeCell ref="C4:E4"/>
    <mergeCell ref="F4:H4"/>
    <mergeCell ref="I4:K4"/>
    <mergeCell ref="N7:N8"/>
    <mergeCell ref="U7:U8"/>
  </mergeCells>
  <printOptions/>
  <pageMargins left="0.25" right="0" top="0.6" bottom="0.25" header="0.5" footer="0.3"/>
  <pageSetup fitToHeight="1" fitToWidth="1" horizontalDpi="600" verticalDpi="600" orientation="landscape" scale="3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Paul Weiss Employee</cp:lastModifiedBy>
  <cp:lastPrinted>2010-04-24T16:46:43Z</cp:lastPrinted>
  <dcterms:created xsi:type="dcterms:W3CDTF">2010-04-23T21:40:23Z</dcterms:created>
  <dcterms:modified xsi:type="dcterms:W3CDTF">2010-04-24T16:47:15Z</dcterms:modified>
  <cp:category/>
  <cp:version/>
  <cp:contentType/>
  <cp:contentStatus/>
</cp:coreProperties>
</file>